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defaultThemeVersion="124226"/>
  <mc:AlternateContent xmlns:mc="http://schemas.openxmlformats.org/markup-compatibility/2006">
    <mc:Choice Requires="x15">
      <x15ac:absPath xmlns:x15ac="http://schemas.microsoft.com/office/spreadsheetml/2010/11/ac" url="C:\Users\gty409\Desktop\"/>
    </mc:Choice>
  </mc:AlternateContent>
  <xr:revisionPtr revIDLastSave="0" documentId="10_ncr:8100000_{70EFDDF4-A538-4FE6-873B-2D1663B2EA0B}" xr6:coauthVersionLast="34" xr6:coauthVersionMax="34" xr10:uidLastSave="{00000000-0000-0000-0000-000000000000}"/>
  <bookViews>
    <workbookView xWindow="-15" yWindow="5880" windowWidth="28830" windowHeight="5940" firstSheet="3" activeTab="3" xr2:uid="{00000000-000D-0000-FFFF-FFFF00000000}"/>
  </bookViews>
  <sheets>
    <sheet name="使用説明" sheetId="8" r:id="rId1"/>
    <sheet name="使用説明2" sheetId="9" r:id="rId2"/>
    <sheet name="説明用伏図" sheetId="10" r:id="rId3"/>
    <sheet name="表紙" sheetId="7" r:id="rId4"/>
    <sheet name="使い方" sheetId="16" r:id="rId5"/>
    <sheet name="略図" sheetId="5" r:id="rId6"/>
    <sheet name="準備" sheetId="4" r:id="rId7"/>
    <sheet name="許容応力" sheetId="1" state="hidden" r:id="rId8"/>
    <sheet name="断面算定" sheetId="3" r:id="rId9"/>
    <sheet name="断面算定2" sheetId="14" r:id="rId10"/>
    <sheet name="断面算定3" sheetId="15" r:id="rId11"/>
    <sheet name="説明伏図" sheetId="17" r:id="rId12"/>
    <sheet name="板、重梁" sheetId="18" r:id="rId13"/>
  </sheets>
  <definedNames>
    <definedName name="_xlnm.Print_Area" localSheetId="7">許容応力!$B$2:$K$38</definedName>
    <definedName name="_xlnm.Print_Area" localSheetId="4">使い方!$B$1:$M$350</definedName>
    <definedName name="_xlnm.Print_Area" localSheetId="0">使用説明!$A$1:$M$108</definedName>
    <definedName name="_xlnm.Print_Area" localSheetId="1">使用説明2!$A$1:$R$78</definedName>
    <definedName name="_xlnm.Print_Area" localSheetId="6">準備!$B$1:$H$89</definedName>
    <definedName name="_xlnm.Print_Area" localSheetId="8">断面算定!$B$2:$AO$127</definedName>
    <definedName name="_xlnm.Print_Area" localSheetId="3">表紙!$A$1:$H$54</definedName>
    <definedName name="_xlnm.Print_Area" localSheetId="5">略図!$A$1:$I$44</definedName>
  </definedNames>
  <calcPr calcId="162913"/>
</workbook>
</file>

<file path=xl/calcChain.xml><?xml version="1.0" encoding="utf-8"?>
<calcChain xmlns="http://schemas.openxmlformats.org/spreadsheetml/2006/main">
  <c r="I3" i="3" l="1"/>
  <c r="G3" i="3"/>
  <c r="D46" i="4" l="1"/>
  <c r="E35" i="4" l="1"/>
  <c r="E31" i="4"/>
  <c r="E27" i="4"/>
  <c r="E23" i="4"/>
  <c r="E36" i="4"/>
  <c r="E34" i="4"/>
  <c r="E32" i="4"/>
  <c r="E30" i="4"/>
  <c r="E28" i="4"/>
  <c r="E26" i="4"/>
  <c r="E24" i="4"/>
  <c r="E22" i="4"/>
  <c r="E20" i="4"/>
  <c r="E19" i="4"/>
  <c r="E18" i="4"/>
  <c r="E10" i="4"/>
  <c r="E9" i="4"/>
  <c r="E7" i="4"/>
  <c r="N119" i="18" l="1"/>
  <c r="M119" i="18"/>
  <c r="L119" i="18"/>
  <c r="K119" i="18"/>
  <c r="K123" i="18" l="1"/>
  <c r="N110" i="18"/>
  <c r="M110" i="18"/>
  <c r="L110" i="18"/>
  <c r="K110" i="18"/>
  <c r="J110" i="18"/>
  <c r="I110" i="18"/>
  <c r="H110" i="18"/>
  <c r="G110" i="18"/>
  <c r="F110" i="18"/>
  <c r="E110" i="18"/>
  <c r="E115" i="18" s="1"/>
  <c r="N103" i="18"/>
  <c r="N122" i="18" s="1"/>
  <c r="M103" i="18"/>
  <c r="L103" i="18"/>
  <c r="L123" i="18" s="1"/>
  <c r="K103" i="18"/>
  <c r="K122" i="18" s="1"/>
  <c r="J103" i="18"/>
  <c r="I103" i="18"/>
  <c r="I122" i="18" s="1"/>
  <c r="H103" i="18"/>
  <c r="G103" i="18"/>
  <c r="G122" i="18" s="1"/>
  <c r="F103" i="18"/>
  <c r="F122" i="18" s="1"/>
  <c r="E103" i="18"/>
  <c r="N78" i="18"/>
  <c r="N97" i="18" s="1"/>
  <c r="M78" i="18"/>
  <c r="L78" i="18"/>
  <c r="L97" i="18" s="1"/>
  <c r="K78" i="18"/>
  <c r="K97" i="18" s="1"/>
  <c r="I78" i="18"/>
  <c r="I97" i="18" s="1"/>
  <c r="H78" i="18"/>
  <c r="G78" i="18"/>
  <c r="G97" i="18" s="1"/>
  <c r="F78" i="18"/>
  <c r="F97" i="18" s="1"/>
  <c r="N85" i="18"/>
  <c r="M85" i="18"/>
  <c r="L85" i="18"/>
  <c r="K85" i="18"/>
  <c r="I85" i="18"/>
  <c r="H85" i="18"/>
  <c r="G85" i="18"/>
  <c r="F85" i="18"/>
  <c r="F92" i="18" s="1"/>
  <c r="F94" i="18" s="1"/>
  <c r="N124" i="18"/>
  <c r="K124" i="18"/>
  <c r="N98" i="18"/>
  <c r="I98" i="18"/>
  <c r="N120" i="18"/>
  <c r="N121" i="18" s="1"/>
  <c r="M120" i="18"/>
  <c r="M121" i="18" s="1"/>
  <c r="L120" i="18"/>
  <c r="L121" i="18" s="1"/>
  <c r="K120" i="18"/>
  <c r="K121" i="18" s="1"/>
  <c r="N108" i="18"/>
  <c r="L108" i="18"/>
  <c r="K108" i="18"/>
  <c r="G108" i="18"/>
  <c r="F108" i="18"/>
  <c r="L107" i="18"/>
  <c r="K107" i="18"/>
  <c r="I107" i="18"/>
  <c r="G107" i="18"/>
  <c r="N106" i="18"/>
  <c r="L106" i="18"/>
  <c r="K106" i="18"/>
  <c r="G106" i="18"/>
  <c r="F106" i="18"/>
  <c r="L105" i="18"/>
  <c r="K105" i="18"/>
  <c r="I105" i="18"/>
  <c r="G105" i="18"/>
  <c r="N104" i="18"/>
  <c r="L104" i="18"/>
  <c r="K104" i="18"/>
  <c r="G104" i="18"/>
  <c r="F104" i="18"/>
  <c r="J85" i="18"/>
  <c r="E85" i="18"/>
  <c r="E90" i="18" s="1"/>
  <c r="J78" i="18"/>
  <c r="E78" i="18"/>
  <c r="N99" i="18"/>
  <c r="L99" i="18"/>
  <c r="K99" i="18"/>
  <c r="O467" i="18"/>
  <c r="N467" i="18"/>
  <c r="M467" i="18"/>
  <c r="M468" i="18" s="1"/>
  <c r="L467" i="18"/>
  <c r="K467" i="18"/>
  <c r="J467" i="18"/>
  <c r="J468" i="18" s="1"/>
  <c r="I467" i="18"/>
  <c r="I468" i="18" s="1"/>
  <c r="H467" i="18"/>
  <c r="H468" i="18" s="1"/>
  <c r="G467" i="18"/>
  <c r="F467" i="18"/>
  <c r="E467" i="18"/>
  <c r="E468" i="18" s="1"/>
  <c r="O463" i="18"/>
  <c r="O464" i="18" s="1"/>
  <c r="N463" i="18"/>
  <c r="M463" i="18"/>
  <c r="L463" i="18"/>
  <c r="L464" i="18" s="1"/>
  <c r="K463" i="18"/>
  <c r="K464" i="18" s="1"/>
  <c r="J463" i="18"/>
  <c r="I463" i="18"/>
  <c r="H463" i="18"/>
  <c r="H464" i="18" s="1"/>
  <c r="G463" i="18"/>
  <c r="G464" i="18" s="1"/>
  <c r="F463" i="18"/>
  <c r="F464" i="18" s="1"/>
  <c r="E463" i="18"/>
  <c r="E464" i="18" s="1"/>
  <c r="O459" i="18"/>
  <c r="O460" i="18" s="1"/>
  <c r="N459" i="18"/>
  <c r="M459" i="18"/>
  <c r="L459" i="18"/>
  <c r="K459" i="18"/>
  <c r="K460" i="18" s="1"/>
  <c r="J459" i="18"/>
  <c r="I459" i="18"/>
  <c r="H459" i="18"/>
  <c r="G459" i="18"/>
  <c r="G460" i="18" s="1"/>
  <c r="F459" i="18"/>
  <c r="F460" i="18" s="1"/>
  <c r="E459" i="18"/>
  <c r="E460" i="18"/>
  <c r="E461" i="18" s="1"/>
  <c r="H460" i="18"/>
  <c r="I460" i="18"/>
  <c r="I461" i="18" s="1"/>
  <c r="J460" i="18"/>
  <c r="J461" i="18" s="1"/>
  <c r="L460" i="18"/>
  <c r="M460" i="18"/>
  <c r="M461" i="18" s="1"/>
  <c r="N460" i="18"/>
  <c r="N461" i="18" s="1"/>
  <c r="H461" i="18"/>
  <c r="L461" i="18"/>
  <c r="E462" i="18"/>
  <c r="H462" i="18"/>
  <c r="I462" i="18"/>
  <c r="J462" i="18"/>
  <c r="L462" i="18"/>
  <c r="M462" i="18"/>
  <c r="N462" i="18"/>
  <c r="I464" i="18"/>
  <c r="I465" i="18" s="1"/>
  <c r="J464" i="18"/>
  <c r="J465" i="18" s="1"/>
  <c r="M464" i="18"/>
  <c r="M466" i="18" s="1"/>
  <c r="N464" i="18"/>
  <c r="N465" i="18" s="1"/>
  <c r="M465" i="18"/>
  <c r="G468" i="18"/>
  <c r="K468" i="18"/>
  <c r="O468" i="18"/>
  <c r="F468" i="18"/>
  <c r="F469" i="18" s="1"/>
  <c r="L468" i="18"/>
  <c r="L469" i="18" s="1"/>
  <c r="N468" i="18"/>
  <c r="N469" i="18" s="1"/>
  <c r="N470" i="18"/>
  <c r="N118" i="18" s="1"/>
  <c r="N92" i="18"/>
  <c r="N94" i="18" s="1"/>
  <c r="M92" i="18"/>
  <c r="L92" i="18"/>
  <c r="L94" i="18" s="1"/>
  <c r="K92" i="18"/>
  <c r="J92" i="18"/>
  <c r="I92" i="18"/>
  <c r="I94" i="18" s="1"/>
  <c r="H92" i="18"/>
  <c r="G92" i="18"/>
  <c r="G94" i="18" s="1"/>
  <c r="N83" i="18"/>
  <c r="L83" i="18"/>
  <c r="K82" i="18"/>
  <c r="N60" i="18"/>
  <c r="N67" i="18" s="1"/>
  <c r="N69" i="18" s="1"/>
  <c r="M60" i="18"/>
  <c r="M67" i="18" s="1"/>
  <c r="M69" i="18" s="1"/>
  <c r="L60" i="18"/>
  <c r="L67" i="18" s="1"/>
  <c r="L69" i="18" s="1"/>
  <c r="K60" i="18"/>
  <c r="K67" i="18" s="1"/>
  <c r="K69" i="18" s="1"/>
  <c r="J60" i="18"/>
  <c r="J67" i="18" s="1"/>
  <c r="J69" i="18" s="1"/>
  <c r="I60" i="18"/>
  <c r="I67" i="18" s="1"/>
  <c r="I69" i="18" s="1"/>
  <c r="H60" i="18"/>
  <c r="H67" i="18" s="1"/>
  <c r="H69" i="18" s="1"/>
  <c r="G60" i="18"/>
  <c r="G67" i="18" s="1"/>
  <c r="G69" i="18" s="1"/>
  <c r="F60" i="18"/>
  <c r="F67" i="18" s="1"/>
  <c r="F69" i="18" s="1"/>
  <c r="E60" i="18"/>
  <c r="N59" i="18"/>
  <c r="M59" i="18"/>
  <c r="L59" i="18"/>
  <c r="K59" i="18"/>
  <c r="J59" i="18"/>
  <c r="I59" i="18"/>
  <c r="H59" i="18"/>
  <c r="G59" i="18"/>
  <c r="F59" i="18"/>
  <c r="E59" i="18"/>
  <c r="N53" i="18"/>
  <c r="N72" i="18" s="1"/>
  <c r="M53" i="18"/>
  <c r="L53" i="18"/>
  <c r="L72" i="18" s="1"/>
  <c r="K53" i="18"/>
  <c r="J53" i="18"/>
  <c r="J72" i="18" s="1"/>
  <c r="I53" i="18"/>
  <c r="H53" i="18"/>
  <c r="G53" i="18"/>
  <c r="F53" i="18"/>
  <c r="F72" i="18" s="1"/>
  <c r="E53" i="18"/>
  <c r="O455" i="18"/>
  <c r="O456" i="18" s="1"/>
  <c r="N455" i="18"/>
  <c r="N456" i="18" s="1"/>
  <c r="M455" i="18"/>
  <c r="M456" i="18" s="1"/>
  <c r="L455" i="18"/>
  <c r="L456" i="18" s="1"/>
  <c r="K455" i="18"/>
  <c r="K456" i="18" s="1"/>
  <c r="J455" i="18"/>
  <c r="J456" i="18" s="1"/>
  <c r="G465" i="18" l="1"/>
  <c r="G466" i="18"/>
  <c r="K465" i="18"/>
  <c r="K466" i="18"/>
  <c r="K93" i="18" s="1"/>
  <c r="G462" i="18"/>
  <c r="G461" i="18"/>
  <c r="L465" i="18"/>
  <c r="L466" i="18"/>
  <c r="L93" i="18" s="1"/>
  <c r="F462" i="18"/>
  <c r="F461" i="18"/>
  <c r="K462" i="18"/>
  <c r="K68" i="18" s="1"/>
  <c r="K461" i="18"/>
  <c r="F470" i="18"/>
  <c r="N466" i="18"/>
  <c r="J466" i="18"/>
  <c r="I104" i="18"/>
  <c r="F105" i="18"/>
  <c r="I106" i="18"/>
  <c r="F107" i="18"/>
  <c r="I108" i="18"/>
  <c r="F98" i="18"/>
  <c r="L98" i="18"/>
  <c r="F123" i="18"/>
  <c r="I123" i="18"/>
  <c r="L470" i="18"/>
  <c r="L118" i="18" s="1"/>
  <c r="K98" i="18"/>
  <c r="F99" i="18"/>
  <c r="J93" i="18"/>
  <c r="I466" i="18"/>
  <c r="N105" i="18"/>
  <c r="N107" i="18"/>
  <c r="G98" i="18"/>
  <c r="L124" i="18"/>
  <c r="L122" i="18"/>
  <c r="G123" i="18"/>
  <c r="N123" i="18"/>
  <c r="K94" i="18"/>
  <c r="G57" i="18"/>
  <c r="G72" i="18"/>
  <c r="I57" i="18"/>
  <c r="I72" i="18"/>
  <c r="K57" i="18"/>
  <c r="K72" i="18"/>
  <c r="I68" i="18"/>
  <c r="G68" i="18"/>
  <c r="H54" i="18"/>
  <c r="H72" i="18"/>
  <c r="N68" i="18"/>
  <c r="L68" i="18"/>
  <c r="J68" i="18"/>
  <c r="H68" i="18"/>
  <c r="F68" i="18"/>
  <c r="H469" i="18"/>
  <c r="H470" i="18"/>
  <c r="H465" i="18"/>
  <c r="H466" i="18"/>
  <c r="H93" i="18" s="1"/>
  <c r="M93" i="18"/>
  <c r="M94" i="18"/>
  <c r="M95" i="18" s="1"/>
  <c r="M96" i="18" s="1"/>
  <c r="M68" i="18"/>
  <c r="F465" i="18"/>
  <c r="F466" i="18"/>
  <c r="F93" i="18" s="1"/>
  <c r="N93" i="18"/>
  <c r="I93" i="18"/>
  <c r="G93" i="18"/>
  <c r="J469" i="18"/>
  <c r="J470" i="18"/>
  <c r="E465" i="18"/>
  <c r="E466" i="18"/>
  <c r="O470" i="18"/>
  <c r="O469" i="18"/>
  <c r="M470" i="18"/>
  <c r="M118" i="18" s="1"/>
  <c r="M469" i="18"/>
  <c r="K470" i="18"/>
  <c r="K118" i="18" s="1"/>
  <c r="K469" i="18"/>
  <c r="I470" i="18"/>
  <c r="I469" i="18"/>
  <c r="G470" i="18"/>
  <c r="G469" i="18"/>
  <c r="E470" i="18"/>
  <c r="E469" i="18"/>
  <c r="O465" i="18"/>
  <c r="O466" i="18"/>
  <c r="O461" i="18"/>
  <c r="O66" i="18" s="1"/>
  <c r="O462" i="18"/>
  <c r="O68" i="18" s="1"/>
  <c r="G55" i="18"/>
  <c r="K55" i="18"/>
  <c r="I55" i="18"/>
  <c r="F70" i="18"/>
  <c r="F71" i="18" s="1"/>
  <c r="J70" i="18"/>
  <c r="J71" i="18" s="1"/>
  <c r="G70" i="18"/>
  <c r="G71" i="18" s="1"/>
  <c r="I70" i="18"/>
  <c r="I71" i="18" s="1"/>
  <c r="K70" i="18"/>
  <c r="K71" i="18" s="1"/>
  <c r="M70" i="18"/>
  <c r="M71" i="18" s="1"/>
  <c r="H70" i="18"/>
  <c r="H71" i="18" s="1"/>
  <c r="L70" i="18"/>
  <c r="L71" i="18" s="1"/>
  <c r="N70" i="18"/>
  <c r="N71" i="18" s="1"/>
  <c r="J74" i="18"/>
  <c r="J73" i="18"/>
  <c r="N74" i="18"/>
  <c r="N73" i="18"/>
  <c r="N54" i="18"/>
  <c r="N56" i="18"/>
  <c r="F74" i="18"/>
  <c r="F73" i="18"/>
  <c r="H74" i="18"/>
  <c r="H73" i="18"/>
  <c r="L74" i="18"/>
  <c r="L73" i="18"/>
  <c r="F54" i="18"/>
  <c r="J54" i="18"/>
  <c r="L54" i="18"/>
  <c r="F56" i="18"/>
  <c r="H56" i="18"/>
  <c r="J56" i="18"/>
  <c r="L56" i="18"/>
  <c r="F58" i="18"/>
  <c r="H58" i="18"/>
  <c r="J58" i="18"/>
  <c r="L58" i="18"/>
  <c r="N58" i="18"/>
  <c r="F65" i="18"/>
  <c r="F66" i="18" s="1"/>
  <c r="H65" i="18"/>
  <c r="H66" i="18" s="1"/>
  <c r="J65" i="18"/>
  <c r="J66" i="18" s="1"/>
  <c r="L65" i="18"/>
  <c r="L66" i="18" s="1"/>
  <c r="N65" i="18"/>
  <c r="N66" i="18" s="1"/>
  <c r="G95" i="18"/>
  <c r="G96" i="18" s="1"/>
  <c r="I95" i="18"/>
  <c r="I96" i="18" s="1"/>
  <c r="K95" i="18"/>
  <c r="K96" i="18" s="1"/>
  <c r="G74" i="18"/>
  <c r="G73" i="18"/>
  <c r="I74" i="18"/>
  <c r="I73" i="18"/>
  <c r="K74" i="18"/>
  <c r="K73" i="18"/>
  <c r="G54" i="18"/>
  <c r="I54" i="18"/>
  <c r="K54" i="18"/>
  <c r="F55" i="18"/>
  <c r="H55" i="18"/>
  <c r="J55" i="18"/>
  <c r="L55" i="18"/>
  <c r="N55" i="18"/>
  <c r="G56" i="18"/>
  <c r="I56" i="18"/>
  <c r="K56" i="18"/>
  <c r="F57" i="18"/>
  <c r="H57" i="18"/>
  <c r="J57" i="18"/>
  <c r="L57" i="18"/>
  <c r="N57" i="18"/>
  <c r="G58" i="18"/>
  <c r="I58" i="18"/>
  <c r="K58" i="18"/>
  <c r="G65" i="18"/>
  <c r="G66" i="18" s="1"/>
  <c r="I65" i="18"/>
  <c r="I66" i="18" s="1"/>
  <c r="K65" i="18"/>
  <c r="M65" i="18"/>
  <c r="M66" i="18" s="1"/>
  <c r="F95" i="18"/>
  <c r="F96" i="18" s="1"/>
  <c r="L95" i="18"/>
  <c r="L96" i="18" s="1"/>
  <c r="N95" i="18"/>
  <c r="N96" i="18" s="1"/>
  <c r="G79" i="18"/>
  <c r="I79" i="18"/>
  <c r="K79" i="18"/>
  <c r="F80" i="18"/>
  <c r="L80" i="18"/>
  <c r="N80" i="18"/>
  <c r="G81" i="18"/>
  <c r="I81" i="18"/>
  <c r="K81" i="18"/>
  <c r="F82" i="18"/>
  <c r="L82" i="18"/>
  <c r="N82" i="18"/>
  <c r="G83" i="18"/>
  <c r="I83" i="18"/>
  <c r="K83" i="18"/>
  <c r="F90" i="18"/>
  <c r="F91" i="18" s="1"/>
  <c r="H90" i="18"/>
  <c r="H91" i="18" s="1"/>
  <c r="J90" i="18"/>
  <c r="J91" i="18" s="1"/>
  <c r="L90" i="18"/>
  <c r="N90" i="18"/>
  <c r="N91" i="18" s="1"/>
  <c r="G99" i="18"/>
  <c r="I99" i="18"/>
  <c r="F79" i="18"/>
  <c r="L79" i="18"/>
  <c r="N79" i="18"/>
  <c r="G80" i="18"/>
  <c r="I80" i="18"/>
  <c r="K80" i="18"/>
  <c r="F81" i="18"/>
  <c r="L81" i="18"/>
  <c r="N81" i="18"/>
  <c r="G82" i="18"/>
  <c r="I82" i="18"/>
  <c r="F83" i="18"/>
  <c r="G90" i="18"/>
  <c r="G91" i="18" s="1"/>
  <c r="I90" i="18"/>
  <c r="I91" i="18" s="1"/>
  <c r="K90" i="18"/>
  <c r="K91" i="18" s="1"/>
  <c r="M90" i="18"/>
  <c r="M91" i="18" s="1"/>
  <c r="J458" i="18"/>
  <c r="J457" i="18"/>
  <c r="L458" i="18"/>
  <c r="L457" i="18"/>
  <c r="N458" i="18"/>
  <c r="N457" i="18"/>
  <c r="K458" i="18"/>
  <c r="K457" i="18"/>
  <c r="M458" i="18"/>
  <c r="M457" i="18"/>
  <c r="O458" i="18"/>
  <c r="O457" i="18"/>
  <c r="N115" i="18"/>
  <c r="N116" i="18" s="1"/>
  <c r="M115" i="18"/>
  <c r="M116" i="18" s="1"/>
  <c r="L115" i="18"/>
  <c r="L116" i="18" s="1"/>
  <c r="K115" i="18"/>
  <c r="K116" i="18" s="1"/>
  <c r="J117" i="18"/>
  <c r="I117" i="18"/>
  <c r="I119" i="18" s="1"/>
  <c r="H117" i="18"/>
  <c r="G117" i="18"/>
  <c r="G119" i="18" s="1"/>
  <c r="F117" i="18"/>
  <c r="F119" i="18" s="1"/>
  <c r="E117" i="18"/>
  <c r="P103" i="18"/>
  <c r="I124" i="18"/>
  <c r="G124" i="18"/>
  <c r="E92" i="18"/>
  <c r="E93" i="18" s="1"/>
  <c r="P78" i="18"/>
  <c r="E67" i="18"/>
  <c r="E68" i="18" s="1"/>
  <c r="P53" i="18"/>
  <c r="O35" i="18"/>
  <c r="O42" i="18" s="1"/>
  <c r="N35" i="18"/>
  <c r="M35" i="18"/>
  <c r="M42" i="18" s="1"/>
  <c r="L35" i="18"/>
  <c r="L42" i="18" s="1"/>
  <c r="K35" i="18"/>
  <c r="O34" i="18"/>
  <c r="N34" i="18"/>
  <c r="M34" i="18"/>
  <c r="L34" i="18"/>
  <c r="L40" i="18"/>
  <c r="L41" i="18" s="1"/>
  <c r="K34" i="18"/>
  <c r="O28" i="18"/>
  <c r="O47" i="18" s="1"/>
  <c r="N28" i="18"/>
  <c r="M28" i="18"/>
  <c r="L28" i="18"/>
  <c r="L47" i="18" s="1"/>
  <c r="K28" i="18"/>
  <c r="V29" i="18" s="1"/>
  <c r="J35" i="18"/>
  <c r="J42" i="18" s="1"/>
  <c r="J44" i="18" s="1"/>
  <c r="I35" i="18"/>
  <c r="I40" i="18" s="1"/>
  <c r="H35" i="18"/>
  <c r="H42" i="18" s="1"/>
  <c r="H44" i="18" s="1"/>
  <c r="G35" i="18"/>
  <c r="G40" i="18" s="1"/>
  <c r="F35" i="18"/>
  <c r="F42" i="18" s="1"/>
  <c r="F44" i="18" s="1"/>
  <c r="E35" i="18"/>
  <c r="E40" i="18" s="1"/>
  <c r="J34" i="18"/>
  <c r="I34" i="18"/>
  <c r="H34" i="18"/>
  <c r="G34" i="18"/>
  <c r="F34" i="18"/>
  <c r="E34" i="18"/>
  <c r="J28" i="18"/>
  <c r="I28" i="18"/>
  <c r="H28" i="18"/>
  <c r="G28" i="18"/>
  <c r="F28" i="18"/>
  <c r="E28" i="18"/>
  <c r="P29" i="18" s="1"/>
  <c r="P28" i="18"/>
  <c r="Z29" i="18"/>
  <c r="O40" i="18"/>
  <c r="O41" i="18" s="1"/>
  <c r="X29" i="18"/>
  <c r="M40" i="18"/>
  <c r="L91" i="18" l="1"/>
  <c r="K66" i="18"/>
  <c r="M41" i="18"/>
  <c r="F33" i="18"/>
  <c r="F47" i="18"/>
  <c r="H33" i="18"/>
  <c r="H47" i="18"/>
  <c r="U29" i="18"/>
  <c r="J47" i="18"/>
  <c r="M44" i="18"/>
  <c r="M45" i="18" s="1"/>
  <c r="M46" i="18" s="1"/>
  <c r="O44" i="18"/>
  <c r="O45" i="18" s="1"/>
  <c r="O46" i="18" s="1"/>
  <c r="G32" i="18"/>
  <c r="G47" i="18"/>
  <c r="M33" i="18"/>
  <c r="M47" i="18"/>
  <c r="L44" i="18"/>
  <c r="L45" i="18" s="1"/>
  <c r="L46" i="18" s="1"/>
  <c r="T29" i="18"/>
  <c r="E118" i="18"/>
  <c r="G118" i="18"/>
  <c r="I118" i="18"/>
  <c r="F118" i="18"/>
  <c r="H118" i="18"/>
  <c r="J118" i="18"/>
  <c r="L33" i="18"/>
  <c r="L49" i="18"/>
  <c r="L48" i="18"/>
  <c r="Y29" i="18"/>
  <c r="M29" i="18"/>
  <c r="M31" i="18"/>
  <c r="N40" i="18"/>
  <c r="N41" i="18" s="1"/>
  <c r="N42" i="18"/>
  <c r="N44" i="18" s="1"/>
  <c r="O43" i="18"/>
  <c r="M48" i="18"/>
  <c r="M49" i="18"/>
  <c r="O48" i="18"/>
  <c r="O49" i="18"/>
  <c r="M30" i="18"/>
  <c r="M32" i="18"/>
  <c r="K40" i="18"/>
  <c r="K41" i="18" s="1"/>
  <c r="K42" i="18"/>
  <c r="M43" i="18"/>
  <c r="L43" i="18"/>
  <c r="G42" i="18"/>
  <c r="R29" i="18"/>
  <c r="I42" i="18"/>
  <c r="O29" i="18"/>
  <c r="O30" i="18"/>
  <c r="O31" i="18"/>
  <c r="O32" i="18"/>
  <c r="O33" i="18"/>
  <c r="F120" i="18"/>
  <c r="F121" i="18" s="1"/>
  <c r="G120" i="18"/>
  <c r="G121" i="18" s="1"/>
  <c r="I120" i="18"/>
  <c r="I121" i="18" s="1"/>
  <c r="Q104" i="18"/>
  <c r="S104" i="18"/>
  <c r="U104" i="18"/>
  <c r="W104" i="18"/>
  <c r="Y104" i="18"/>
  <c r="F115" i="18"/>
  <c r="F116" i="18" s="1"/>
  <c r="H115" i="18"/>
  <c r="H116" i="18" s="1"/>
  <c r="J115" i="18"/>
  <c r="J116" i="18" s="1"/>
  <c r="F124" i="18"/>
  <c r="P104" i="18"/>
  <c r="R104" i="18"/>
  <c r="T104" i="18"/>
  <c r="V104" i="18"/>
  <c r="X104" i="18"/>
  <c r="Z104" i="18"/>
  <c r="E116" i="18"/>
  <c r="G115" i="18"/>
  <c r="G116" i="18" s="1"/>
  <c r="I115" i="18"/>
  <c r="I116" i="18" s="1"/>
  <c r="Q79" i="18"/>
  <c r="S79" i="18"/>
  <c r="U79" i="18"/>
  <c r="W79" i="18"/>
  <c r="Y79" i="18"/>
  <c r="O98" i="18"/>
  <c r="P79" i="18"/>
  <c r="R79" i="18"/>
  <c r="T79" i="18"/>
  <c r="V79" i="18"/>
  <c r="X79" i="18"/>
  <c r="Z79" i="18"/>
  <c r="O97" i="18"/>
  <c r="O99" i="18" s="1"/>
  <c r="Q54" i="18"/>
  <c r="S54" i="18"/>
  <c r="U54" i="18"/>
  <c r="W54" i="18"/>
  <c r="Y54" i="18"/>
  <c r="O73" i="18"/>
  <c r="P54" i="18"/>
  <c r="R54" i="18"/>
  <c r="T54" i="18"/>
  <c r="V54" i="18"/>
  <c r="X54" i="18"/>
  <c r="Z54" i="18"/>
  <c r="E65" i="18"/>
  <c r="E66" i="18" s="1"/>
  <c r="O72" i="18"/>
  <c r="O74" i="18" s="1"/>
  <c r="J43" i="18"/>
  <c r="J45" i="18"/>
  <c r="J46" i="18" s="1"/>
  <c r="F40" i="18"/>
  <c r="H40" i="18"/>
  <c r="J40" i="18"/>
  <c r="J41" i="18" s="1"/>
  <c r="F48" i="18"/>
  <c r="H48" i="18"/>
  <c r="J48" i="18"/>
  <c r="F49" i="18"/>
  <c r="H49" i="18"/>
  <c r="J49" i="18"/>
  <c r="W29" i="18"/>
  <c r="G48" i="18"/>
  <c r="G49" i="18"/>
  <c r="L29" i="18"/>
  <c r="L30" i="18"/>
  <c r="L31" i="18"/>
  <c r="L32" i="18"/>
  <c r="F45" i="18"/>
  <c r="F46" i="18" s="1"/>
  <c r="H45" i="18"/>
  <c r="H46" i="18" s="1"/>
  <c r="E42" i="18"/>
  <c r="G29" i="18"/>
  <c r="F30" i="18"/>
  <c r="H30" i="18"/>
  <c r="J30" i="18"/>
  <c r="G31" i="18"/>
  <c r="F32" i="18"/>
  <c r="H32" i="18"/>
  <c r="J32" i="18"/>
  <c r="G33" i="18"/>
  <c r="F29" i="18"/>
  <c r="H29" i="18"/>
  <c r="J29" i="18"/>
  <c r="G30" i="18"/>
  <c r="F31" i="18"/>
  <c r="H31" i="18"/>
  <c r="J31" i="18"/>
  <c r="J33" i="18"/>
  <c r="X32" i="18"/>
  <c r="W32" i="18"/>
  <c r="Y32" i="18"/>
  <c r="N31" i="18" s="1"/>
  <c r="Z32" i="18"/>
  <c r="G44" i="18" l="1"/>
  <c r="G45" i="18" s="1"/>
  <c r="G46" i="18" s="1"/>
  <c r="I44" i="18"/>
  <c r="I45" i="18" s="1"/>
  <c r="I46" i="18" s="1"/>
  <c r="E91" i="18"/>
  <c r="K43" i="18"/>
  <c r="N45" i="18"/>
  <c r="N46" i="18" s="1"/>
  <c r="N43" i="18"/>
  <c r="X107" i="18"/>
  <c r="M106" i="18" s="1"/>
  <c r="T107" i="18"/>
  <c r="Y107" i="18"/>
  <c r="Q107" i="18"/>
  <c r="Z107" i="18"/>
  <c r="V107" i="18"/>
  <c r="R107" i="18"/>
  <c r="W107" i="18"/>
  <c r="S107" i="18"/>
  <c r="H106" i="18" s="1"/>
  <c r="X82" i="18"/>
  <c r="M81" i="18" s="1"/>
  <c r="T82" i="18"/>
  <c r="Y82" i="18"/>
  <c r="Q82" i="18"/>
  <c r="Z82" i="18"/>
  <c r="V82" i="18"/>
  <c r="R82" i="18"/>
  <c r="W82" i="18"/>
  <c r="S82" i="18"/>
  <c r="H81" i="18" s="1"/>
  <c r="X57" i="18"/>
  <c r="M56" i="18" s="1"/>
  <c r="T57" i="18"/>
  <c r="Y57" i="18"/>
  <c r="U57" i="18"/>
  <c r="Q57" i="18"/>
  <c r="Z57" i="18"/>
  <c r="V57" i="18"/>
  <c r="R57" i="18"/>
  <c r="W57" i="18"/>
  <c r="S57" i="18"/>
  <c r="K91" i="14" l="1"/>
  <c r="J91" i="14"/>
  <c r="G91" i="14"/>
  <c r="K83" i="14"/>
  <c r="J83" i="14"/>
  <c r="G83" i="14"/>
  <c r="K75" i="14"/>
  <c r="J75" i="14"/>
  <c r="G75" i="14"/>
  <c r="K67" i="14"/>
  <c r="J67" i="14"/>
  <c r="G67" i="14"/>
  <c r="K59" i="14"/>
  <c r="J59" i="14"/>
  <c r="G59" i="14"/>
  <c r="J13" i="18" l="1"/>
  <c r="I13" i="18"/>
  <c r="H13" i="18"/>
  <c r="G13" i="18"/>
  <c r="F13" i="18"/>
  <c r="E13" i="18"/>
  <c r="T27" i="15" l="1"/>
  <c r="T21" i="15"/>
  <c r="T39" i="15"/>
  <c r="U15" i="15"/>
  <c r="Y86" i="15" l="1"/>
  <c r="Y78" i="15"/>
  <c r="Y70" i="15"/>
  <c r="R167" i="15"/>
  <c r="R166" i="15"/>
  <c r="R164" i="15"/>
  <c r="R163" i="15"/>
  <c r="Q167" i="15"/>
  <c r="Q166" i="15"/>
  <c r="Q164" i="15"/>
  <c r="Q163" i="15"/>
  <c r="P167" i="15"/>
  <c r="P166" i="15"/>
  <c r="P164" i="15"/>
  <c r="P163" i="15"/>
  <c r="O167" i="15"/>
  <c r="O166" i="15"/>
  <c r="O164" i="15"/>
  <c r="O163" i="15"/>
  <c r="N167" i="15"/>
  <c r="N166" i="15"/>
  <c r="N181" i="15" s="1"/>
  <c r="N164" i="15"/>
  <c r="N163" i="15"/>
  <c r="M170" i="15"/>
  <c r="W44" i="15"/>
  <c r="W32" i="15"/>
  <c r="W26" i="15"/>
  <c r="M167" i="15"/>
  <c r="L167" i="15"/>
  <c r="K167" i="15"/>
  <c r="J167" i="15"/>
  <c r="I167" i="15"/>
  <c r="M166" i="15"/>
  <c r="M181" i="15" s="1"/>
  <c r="M182" i="15" s="1"/>
  <c r="L166" i="15"/>
  <c r="K166" i="15"/>
  <c r="K181" i="15" s="1"/>
  <c r="K182" i="15" s="1"/>
  <c r="J166" i="15"/>
  <c r="J181" i="15" s="1"/>
  <c r="J182" i="15" s="1"/>
  <c r="I166" i="15"/>
  <c r="M164" i="15"/>
  <c r="L164" i="15"/>
  <c r="K164" i="15"/>
  <c r="K170" i="15" s="1"/>
  <c r="J164" i="15"/>
  <c r="J170" i="15" s="1"/>
  <c r="I164" i="15"/>
  <c r="M163" i="15"/>
  <c r="L163" i="15"/>
  <c r="K163" i="15"/>
  <c r="J163" i="15"/>
  <c r="I163" i="15"/>
  <c r="R161" i="15"/>
  <c r="Q161" i="15"/>
  <c r="P161" i="15"/>
  <c r="O161" i="15"/>
  <c r="N161" i="15"/>
  <c r="M161" i="15"/>
  <c r="L161" i="15"/>
  <c r="K161" i="15"/>
  <c r="J161" i="15"/>
  <c r="I161" i="15"/>
  <c r="X94" i="14"/>
  <c r="X86" i="14"/>
  <c r="X70" i="14"/>
  <c r="CM67" i="3"/>
  <c r="CM64" i="3"/>
  <c r="CM61" i="3"/>
  <c r="CM58" i="3"/>
  <c r="AH182" i="3"/>
  <c r="AH181" i="3"/>
  <c r="AH196" i="3" s="1"/>
  <c r="AH197" i="3" s="1"/>
  <c r="AH179" i="3"/>
  <c r="AH185" i="3" s="1"/>
  <c r="V67" i="3" s="1"/>
  <c r="AG182" i="3"/>
  <c r="AG181" i="3"/>
  <c r="AG196" i="3" s="1"/>
  <c r="AG197" i="3" s="1"/>
  <c r="AG179" i="3"/>
  <c r="AG184" i="3" s="1"/>
  <c r="V65" i="3" s="1"/>
  <c r="AF182" i="3"/>
  <c r="AF181" i="3"/>
  <c r="AF196" i="3" s="1"/>
  <c r="AF197" i="3" s="1"/>
  <c r="AF179" i="3"/>
  <c r="AF185" i="3" s="1"/>
  <c r="V61" i="3" s="1"/>
  <c r="AE182" i="3"/>
  <c r="AE181" i="3"/>
  <c r="AE196" i="3" s="1"/>
  <c r="AE197" i="3" s="1"/>
  <c r="AE179" i="3"/>
  <c r="AE184" i="3" s="1"/>
  <c r="V59" i="3" s="1"/>
  <c r="AD182" i="3"/>
  <c r="AD181" i="3"/>
  <c r="AD196" i="3" s="1"/>
  <c r="AD197" i="3" s="1"/>
  <c r="AD179" i="3"/>
  <c r="AD191" i="3" s="1"/>
  <c r="AD192" i="3" s="1"/>
  <c r="AH178" i="3"/>
  <c r="AG178" i="3"/>
  <c r="AF178" i="3"/>
  <c r="AE178" i="3"/>
  <c r="AD178" i="3"/>
  <c r="AF191" i="3"/>
  <c r="AF192" i="3" s="1"/>
  <c r="AH176" i="3"/>
  <c r="AG176" i="3"/>
  <c r="AF176" i="3"/>
  <c r="AE176" i="3"/>
  <c r="AD176" i="3"/>
  <c r="AH175" i="3"/>
  <c r="AG175" i="3"/>
  <c r="AF175" i="3"/>
  <c r="AE175" i="3"/>
  <c r="AD175" i="3"/>
  <c r="AH174" i="3"/>
  <c r="AG174" i="3"/>
  <c r="AF174" i="3"/>
  <c r="AE174" i="3"/>
  <c r="AD174" i="3"/>
  <c r="AH173" i="3"/>
  <c r="AG173" i="3"/>
  <c r="AF173" i="3"/>
  <c r="AE173" i="3"/>
  <c r="AD173" i="3"/>
  <c r="AE185" i="3" l="1"/>
  <c r="V58" i="3" s="1"/>
  <c r="AF184" i="3"/>
  <c r="V62" i="3" s="1"/>
  <c r="AG191" i="3"/>
  <c r="AG192" i="3" s="1"/>
  <c r="AG193" i="3" s="1"/>
  <c r="AG198" i="3" s="1"/>
  <c r="AG185" i="3"/>
  <c r="V64" i="3" s="1"/>
  <c r="AD184" i="3"/>
  <c r="V56" i="3" s="1"/>
  <c r="AH184" i="3"/>
  <c r="V68" i="3" s="1"/>
  <c r="AH191" i="3"/>
  <c r="AH192" i="3" s="1"/>
  <c r="AH194" i="3" s="1"/>
  <c r="AH195" i="3" s="1"/>
  <c r="AE191" i="3"/>
  <c r="AE192" i="3" s="1"/>
  <c r="AE194" i="3" s="1"/>
  <c r="AE195" i="3" s="1"/>
  <c r="AD185" i="3"/>
  <c r="I181" i="15"/>
  <c r="L181" i="15"/>
  <c r="R181" i="15"/>
  <c r="K174" i="15"/>
  <c r="K175" i="15" s="1"/>
  <c r="K173" i="15"/>
  <c r="K172" i="15"/>
  <c r="K171" i="15"/>
  <c r="M174" i="15"/>
  <c r="M175" i="15" s="1"/>
  <c r="M173" i="15"/>
  <c r="M172" i="15"/>
  <c r="M171" i="15"/>
  <c r="J174" i="15"/>
  <c r="J175" i="15" s="1"/>
  <c r="J173" i="15"/>
  <c r="J172" i="15"/>
  <c r="J171" i="15"/>
  <c r="I168" i="15"/>
  <c r="I170" i="15" s="1"/>
  <c r="K168" i="15"/>
  <c r="M168" i="15"/>
  <c r="K169" i="15"/>
  <c r="M169" i="15"/>
  <c r="J168" i="15"/>
  <c r="L168" i="15"/>
  <c r="L170" i="15" s="1"/>
  <c r="N168" i="15"/>
  <c r="N170" i="15" s="1"/>
  <c r="R168" i="15"/>
  <c r="J169" i="15"/>
  <c r="L169" i="15"/>
  <c r="W38" i="15" s="1"/>
  <c r="AF194" i="3"/>
  <c r="AF195" i="3" s="1"/>
  <c r="AF193" i="3"/>
  <c r="AF198" i="3" s="1"/>
  <c r="AH193" i="3"/>
  <c r="AH198" i="3" s="1"/>
  <c r="AE193" i="3"/>
  <c r="AE198" i="3" s="1"/>
  <c r="AG194" i="3"/>
  <c r="AG195" i="3" s="1"/>
  <c r="AE183" i="3"/>
  <c r="AG183" i="3"/>
  <c r="AD183" i="3"/>
  <c r="V55" i="3" s="1"/>
  <c r="AF183" i="3"/>
  <c r="AH183" i="3"/>
  <c r="K2" i="18"/>
  <c r="Q29" i="18"/>
  <c r="S29" i="18" l="1"/>
  <c r="R32" i="18"/>
  <c r="S32" i="18"/>
  <c r="U32" i="18"/>
  <c r="T32" i="18"/>
  <c r="I31" i="18" s="1"/>
  <c r="Q32" i="18"/>
  <c r="I173" i="15"/>
  <c r="I171" i="15"/>
  <c r="I172" i="15"/>
  <c r="I169" i="15"/>
  <c r="W20" i="15" s="1"/>
  <c r="N173" i="15"/>
  <c r="N172" i="15"/>
  <c r="N171" i="15"/>
  <c r="L173" i="15"/>
  <c r="L172" i="15"/>
  <c r="L171" i="15"/>
  <c r="N169" i="15"/>
  <c r="Y62" i="15" s="1"/>
  <c r="AG189" i="3"/>
  <c r="AG190" i="3" s="1"/>
  <c r="AG187" i="3"/>
  <c r="AG188" i="3"/>
  <c r="AG186" i="3"/>
  <c r="AF188" i="3"/>
  <c r="AF186" i="3"/>
  <c r="AF189" i="3"/>
  <c r="AF190" i="3" s="1"/>
  <c r="AF187" i="3"/>
  <c r="AE189" i="3"/>
  <c r="AE190" i="3" s="1"/>
  <c r="AE187" i="3"/>
  <c r="AE188" i="3"/>
  <c r="AE186" i="3"/>
  <c r="AH188" i="3"/>
  <c r="AH186" i="3"/>
  <c r="AH189" i="3"/>
  <c r="AH190" i="3" s="1"/>
  <c r="AH187" i="3"/>
  <c r="AD188" i="3"/>
  <c r="AD186" i="3"/>
  <c r="AD187" i="3"/>
  <c r="AD189" i="3" s="1"/>
  <c r="AD190" i="3" s="1"/>
  <c r="AD194" i="3" l="1"/>
  <c r="AD195" i="3" s="1"/>
  <c r="AD193" i="3"/>
  <c r="AD198" i="3" s="1"/>
  <c r="H19" i="18"/>
  <c r="H20" i="18" s="1"/>
  <c r="H17" i="18"/>
  <c r="G399" i="18"/>
  <c r="U5" i="18"/>
  <c r="T5" i="18"/>
  <c r="R5" i="18"/>
  <c r="P5" i="18"/>
  <c r="K377" i="18"/>
  <c r="J3" i="18"/>
  <c r="J17" i="18" s="1"/>
  <c r="G3" i="18"/>
  <c r="H3" i="18" s="1"/>
  <c r="H363" i="18" s="1"/>
  <c r="R505" i="18"/>
  <c r="O505" i="18"/>
  <c r="R504" i="18"/>
  <c r="O504" i="18"/>
  <c r="R503" i="18"/>
  <c r="O503" i="18"/>
  <c r="R502" i="18"/>
  <c r="O502" i="18"/>
  <c r="R501" i="18"/>
  <c r="O501" i="18"/>
  <c r="O500" i="18"/>
  <c r="Q496" i="18"/>
  <c r="R496" i="18" s="1"/>
  <c r="O496" i="18"/>
  <c r="Q495" i="18"/>
  <c r="R495" i="18" s="1"/>
  <c r="O495" i="18"/>
  <c r="Q494" i="18"/>
  <c r="R494" i="18" s="1"/>
  <c r="O494" i="18"/>
  <c r="Q493" i="18"/>
  <c r="R493" i="18" s="1"/>
  <c r="O493" i="18"/>
  <c r="Q492" i="18"/>
  <c r="R492" i="18" s="1"/>
  <c r="O492" i="18"/>
  <c r="Q491" i="18"/>
  <c r="R491" i="18" s="1"/>
  <c r="O491" i="18"/>
  <c r="T487" i="18"/>
  <c r="S487" i="18"/>
  <c r="R487" i="18"/>
  <c r="Q487" i="18"/>
  <c r="O487" i="18"/>
  <c r="T486" i="18"/>
  <c r="S486" i="18"/>
  <c r="R486" i="18"/>
  <c r="Q486" i="18"/>
  <c r="O486" i="18"/>
  <c r="T485" i="18"/>
  <c r="S485" i="18"/>
  <c r="R485" i="18"/>
  <c r="Q485" i="18"/>
  <c r="O485" i="18"/>
  <c r="T484" i="18"/>
  <c r="S484" i="18"/>
  <c r="R484" i="18"/>
  <c r="Q484" i="18"/>
  <c r="O484" i="18"/>
  <c r="T483" i="18"/>
  <c r="S483" i="18"/>
  <c r="R483" i="18"/>
  <c r="Q483" i="18"/>
  <c r="O483" i="18"/>
  <c r="S482" i="18"/>
  <c r="R482" i="18"/>
  <c r="Q482" i="18"/>
  <c r="T482" i="18" s="1"/>
  <c r="O482" i="18"/>
  <c r="H476" i="18"/>
  <c r="G476" i="18"/>
  <c r="F476" i="18"/>
  <c r="E476" i="18"/>
  <c r="D476" i="18"/>
  <c r="C476" i="18"/>
  <c r="I455" i="18"/>
  <c r="I456" i="18" s="1"/>
  <c r="H455" i="18"/>
  <c r="H456" i="18" s="1"/>
  <c r="G455" i="18"/>
  <c r="G456" i="18" s="1"/>
  <c r="F455" i="18"/>
  <c r="F456" i="18" s="1"/>
  <c r="E455" i="18"/>
  <c r="E456" i="18" s="1"/>
  <c r="C454" i="18"/>
  <c r="H453" i="18"/>
  <c r="G453" i="18"/>
  <c r="F453" i="18"/>
  <c r="E453" i="18"/>
  <c r="D453" i="18"/>
  <c r="C453" i="18"/>
  <c r="H451" i="18"/>
  <c r="G451" i="18"/>
  <c r="F451" i="18"/>
  <c r="E451" i="18"/>
  <c r="D451" i="18"/>
  <c r="C451" i="18"/>
  <c r="H450" i="18"/>
  <c r="G450" i="18"/>
  <c r="F450" i="18"/>
  <c r="E450" i="18"/>
  <c r="D450" i="18"/>
  <c r="C450" i="18"/>
  <c r="C449" i="18"/>
  <c r="G446" i="18"/>
  <c r="C446" i="18"/>
  <c r="J442" i="18"/>
  <c r="I442" i="18"/>
  <c r="G442" i="18"/>
  <c r="E442" i="18"/>
  <c r="E438" i="18"/>
  <c r="R362" i="18"/>
  <c r="S362" i="18" s="1"/>
  <c r="R361" i="18"/>
  <c r="S361" i="18" s="1"/>
  <c r="R360" i="18"/>
  <c r="S360" i="18" s="1"/>
  <c r="R359" i="18"/>
  <c r="S359" i="18" s="1"/>
  <c r="G359" i="18"/>
  <c r="H359" i="18" s="1"/>
  <c r="E359" i="18"/>
  <c r="F359" i="18" s="1"/>
  <c r="J353" i="18"/>
  <c r="I353" i="18"/>
  <c r="H353" i="18"/>
  <c r="G353" i="18"/>
  <c r="F353" i="18"/>
  <c r="E353" i="18"/>
  <c r="J352" i="18"/>
  <c r="I352" i="18"/>
  <c r="H352" i="18"/>
  <c r="G352" i="18"/>
  <c r="F352" i="18"/>
  <c r="E352" i="18"/>
  <c r="J351" i="18"/>
  <c r="I351" i="18"/>
  <c r="H351" i="18"/>
  <c r="G351" i="18"/>
  <c r="F351" i="18"/>
  <c r="E351" i="18"/>
  <c r="C351" i="18"/>
  <c r="J24" i="18"/>
  <c r="I24" i="18"/>
  <c r="G24" i="18"/>
  <c r="E24" i="18"/>
  <c r="J22" i="18"/>
  <c r="I22" i="18"/>
  <c r="H22" i="18"/>
  <c r="G22" i="18"/>
  <c r="F22" i="18"/>
  <c r="E22" i="18"/>
  <c r="J16" i="18"/>
  <c r="I16" i="18"/>
  <c r="H16" i="18"/>
  <c r="G16" i="18"/>
  <c r="F16" i="18"/>
  <c r="E16" i="18"/>
  <c r="J15" i="18"/>
  <c r="I15" i="18"/>
  <c r="H15" i="18"/>
  <c r="G15" i="18"/>
  <c r="F15" i="18"/>
  <c r="E15" i="18"/>
  <c r="H11" i="18"/>
  <c r="F11" i="18"/>
  <c r="K5" i="18"/>
  <c r="H5" i="18"/>
  <c r="H442" i="18" s="1"/>
  <c r="F5" i="18"/>
  <c r="F442" i="18" s="1"/>
  <c r="G363" i="18" l="1"/>
  <c r="H458" i="18"/>
  <c r="H43" i="18" s="1"/>
  <c r="F458" i="18"/>
  <c r="F43" i="18" s="1"/>
  <c r="J19" i="18"/>
  <c r="Q5" i="18"/>
  <c r="S5" i="18"/>
  <c r="R8" i="18"/>
  <c r="G8" i="18" s="1"/>
  <c r="H18" i="18"/>
  <c r="J18" i="18"/>
  <c r="F24" i="18"/>
  <c r="H24" i="18"/>
  <c r="G18" i="18"/>
  <c r="F360" i="18"/>
  <c r="F362" i="18" s="1"/>
  <c r="H360" i="18"/>
  <c r="H362" i="18" s="1"/>
  <c r="H364" i="18" s="1"/>
  <c r="E457" i="18"/>
  <c r="E41" i="18" s="1"/>
  <c r="E458" i="18"/>
  <c r="G457" i="18"/>
  <c r="G41" i="18" s="1"/>
  <c r="G458" i="18"/>
  <c r="G43" i="18" s="1"/>
  <c r="I457" i="18"/>
  <c r="I41" i="18" s="1"/>
  <c r="I458" i="18"/>
  <c r="I43" i="18" s="1"/>
  <c r="E360" i="18"/>
  <c r="E362" i="18" s="1"/>
  <c r="G360" i="18"/>
  <c r="G362" i="18" s="1"/>
  <c r="G361" i="18"/>
  <c r="F457" i="18"/>
  <c r="F41" i="18" s="1"/>
  <c r="H457" i="18"/>
  <c r="H41" i="18" s="1"/>
  <c r="FT69" i="3"/>
  <c r="FS69" i="3"/>
  <c r="FJ69" i="3"/>
  <c r="FG69" i="3"/>
  <c r="GB68" i="3"/>
  <c r="GE68" i="3" s="1"/>
  <c r="GA68" i="3"/>
  <c r="GD68" i="3" s="1"/>
  <c r="FZ68" i="3"/>
  <c r="FZ69" i="3" s="1"/>
  <c r="FY68" i="3"/>
  <c r="FY69" i="3" s="1"/>
  <c r="FX68" i="3"/>
  <c r="FX69" i="3" s="1"/>
  <c r="FW68" i="3"/>
  <c r="FW69" i="3" s="1"/>
  <c r="FV68" i="3"/>
  <c r="FV69" i="3" s="1"/>
  <c r="FU68" i="3"/>
  <c r="FU69" i="3" s="1"/>
  <c r="FT68" i="3"/>
  <c r="FS68" i="3"/>
  <c r="FO68" i="3"/>
  <c r="FO69" i="3" s="1"/>
  <c r="FN68" i="3"/>
  <c r="FN69" i="3" s="1"/>
  <c r="FM68" i="3"/>
  <c r="FM69" i="3" s="1"/>
  <c r="FL68" i="3"/>
  <c r="FK68" i="3"/>
  <c r="FJ68" i="3"/>
  <c r="EG68" i="3"/>
  <c r="DT68" i="3"/>
  <c r="DU68" i="3" s="1"/>
  <c r="DR68" i="3"/>
  <c r="DS68" i="3" s="1"/>
  <c r="DQ68" i="3"/>
  <c r="DO68" i="3"/>
  <c r="DM68" i="3"/>
  <c r="DK68" i="3"/>
  <c r="DI68" i="3"/>
  <c r="AQ68" i="3"/>
  <c r="AP68" i="3"/>
  <c r="M68" i="3"/>
  <c r="EI68" i="3" s="1"/>
  <c r="K68" i="3"/>
  <c r="CZ68" i="3" s="1"/>
  <c r="EG67" i="3"/>
  <c r="EH67" i="3" s="1"/>
  <c r="DT67" i="3"/>
  <c r="DU67" i="3" s="1"/>
  <c r="DR67" i="3"/>
  <c r="DS67" i="3" s="1"/>
  <c r="DQ67" i="3"/>
  <c r="DK67" i="3" s="1"/>
  <c r="DO67" i="3"/>
  <c r="CO67" i="3"/>
  <c r="CN67" i="3"/>
  <c r="AQ67" i="3"/>
  <c r="AP67" i="3"/>
  <c r="AN67" i="3"/>
  <c r="AO67" i="3" s="1"/>
  <c r="AM67" i="3"/>
  <c r="AH67" i="3"/>
  <c r="AE67" i="3"/>
  <c r="AA67" i="3"/>
  <c r="Z67" i="3"/>
  <c r="O67" i="3" s="1"/>
  <c r="Y67" i="3"/>
  <c r="W67" i="3"/>
  <c r="S67" i="3"/>
  <c r="AH180" i="3" s="1"/>
  <c r="M67" i="3"/>
  <c r="EI67" i="3" s="1"/>
  <c r="L67" i="3"/>
  <c r="FG66" i="3"/>
  <c r="FT65" i="3"/>
  <c r="FS65" i="3"/>
  <c r="FL65" i="3"/>
  <c r="EG65" i="3"/>
  <c r="DT65" i="3"/>
  <c r="DU65" i="3" s="1"/>
  <c r="DR65" i="3"/>
  <c r="DS65" i="3" s="1"/>
  <c r="DQ65" i="3"/>
  <c r="DK65" i="3" s="1"/>
  <c r="DO65" i="3"/>
  <c r="DM65" i="3"/>
  <c r="AQ65" i="3"/>
  <c r="AP65" i="3"/>
  <c r="K65" i="3"/>
  <c r="EG64" i="3"/>
  <c r="DT64" i="3"/>
  <c r="DU64" i="3" s="1"/>
  <c r="DR64" i="3"/>
  <c r="DS64" i="3" s="1"/>
  <c r="DQ64" i="3"/>
  <c r="DK64" i="3" s="1"/>
  <c r="DO64" i="3"/>
  <c r="M73" i="18" s="1"/>
  <c r="DM64" i="3"/>
  <c r="CO64" i="3"/>
  <c r="CN64" i="3"/>
  <c r="AQ64" i="3"/>
  <c r="AP64" i="3"/>
  <c r="AN64" i="3"/>
  <c r="AO64" i="3" s="1"/>
  <c r="AM64" i="3"/>
  <c r="AH64" i="3"/>
  <c r="AE64" i="3"/>
  <c r="AA64" i="3"/>
  <c r="Z64" i="3"/>
  <c r="O64" i="3" s="1"/>
  <c r="Y64" i="3"/>
  <c r="W64" i="3"/>
  <c r="S64" i="3"/>
  <c r="AG180" i="3" s="1"/>
  <c r="L64" i="3"/>
  <c r="FT63" i="3"/>
  <c r="FS63" i="3"/>
  <c r="FJ63" i="3"/>
  <c r="FG63" i="3"/>
  <c r="GB62" i="3"/>
  <c r="GE62" i="3" s="1"/>
  <c r="GA62" i="3"/>
  <c r="GD62" i="3" s="1"/>
  <c r="FZ62" i="3"/>
  <c r="FZ63" i="3" s="1"/>
  <c r="FY62" i="3"/>
  <c r="FY63" i="3" s="1"/>
  <c r="FX62" i="3"/>
  <c r="FX63" i="3" s="1"/>
  <c r="FW62" i="3"/>
  <c r="FW63" i="3" s="1"/>
  <c r="FV62" i="3"/>
  <c r="FV63" i="3" s="1"/>
  <c r="FU62" i="3"/>
  <c r="FU63" i="3" s="1"/>
  <c r="FT62" i="3"/>
  <c r="FS62" i="3"/>
  <c r="FO62" i="3"/>
  <c r="FR62" i="3" s="1"/>
  <c r="FR63" i="3" s="1"/>
  <c r="FN62" i="3"/>
  <c r="FN63" i="3" s="1"/>
  <c r="FM62" i="3"/>
  <c r="FM63" i="3" s="1"/>
  <c r="FL62" i="3"/>
  <c r="FK62" i="3"/>
  <c r="FJ62" i="3"/>
  <c r="EG62" i="3"/>
  <c r="DT62" i="3"/>
  <c r="DU62" i="3" s="1"/>
  <c r="DR62" i="3"/>
  <c r="DS62" i="3" s="1"/>
  <c r="DQ62" i="3"/>
  <c r="DK62" i="3" s="1"/>
  <c r="DO62" i="3"/>
  <c r="DM62" i="3"/>
  <c r="DI62" i="3"/>
  <c r="AQ62" i="3"/>
  <c r="AP62" i="3"/>
  <c r="M62" i="3"/>
  <c r="EI62" i="3" s="1"/>
  <c r="K62" i="3"/>
  <c r="CZ62" i="3" s="1"/>
  <c r="EG61" i="3"/>
  <c r="EH61" i="3" s="1"/>
  <c r="DT61" i="3"/>
  <c r="DU61" i="3" s="1"/>
  <c r="DR61" i="3"/>
  <c r="DS61" i="3" s="1"/>
  <c r="DQ61" i="3"/>
  <c r="DI61" i="3" s="1"/>
  <c r="DO61" i="3"/>
  <c r="CO61" i="3"/>
  <c r="CN61" i="3"/>
  <c r="AQ61" i="3"/>
  <c r="AP61" i="3"/>
  <c r="AN61" i="3"/>
  <c r="AO61" i="3" s="1"/>
  <c r="AM61" i="3"/>
  <c r="AH61" i="3"/>
  <c r="AE61" i="3"/>
  <c r="AA61" i="3"/>
  <c r="Z61" i="3"/>
  <c r="O61" i="3" s="1"/>
  <c r="Y61" i="3"/>
  <c r="W61" i="3"/>
  <c r="S61" i="3"/>
  <c r="AF180" i="3" s="1"/>
  <c r="M61" i="3"/>
  <c r="EI61" i="3" s="1"/>
  <c r="L61" i="3"/>
  <c r="FT60" i="3"/>
  <c r="FS60" i="3"/>
  <c r="FJ60" i="3"/>
  <c r="FG60" i="3"/>
  <c r="GB59" i="3"/>
  <c r="GE59" i="3" s="1"/>
  <c r="GA59" i="3"/>
  <c r="GD59" i="3" s="1"/>
  <c r="FZ59" i="3"/>
  <c r="FZ60" i="3" s="1"/>
  <c r="FY59" i="3"/>
  <c r="FY60" i="3" s="1"/>
  <c r="FX59" i="3"/>
  <c r="FX60" i="3" s="1"/>
  <c r="FW59" i="3"/>
  <c r="FW60" i="3" s="1"/>
  <c r="FV59" i="3"/>
  <c r="FV60" i="3" s="1"/>
  <c r="FU59" i="3"/>
  <c r="FU60" i="3" s="1"/>
  <c r="FT59" i="3"/>
  <c r="FS59" i="3"/>
  <c r="FO59" i="3"/>
  <c r="FO60" i="3" s="1"/>
  <c r="FN59" i="3"/>
  <c r="FM59" i="3"/>
  <c r="FM60" i="3" s="1"/>
  <c r="FL59" i="3"/>
  <c r="FK59" i="3"/>
  <c r="FJ59" i="3"/>
  <c r="EG59" i="3"/>
  <c r="DT59" i="3"/>
  <c r="DU59" i="3" s="1"/>
  <c r="DR59" i="3"/>
  <c r="DS59" i="3" s="1"/>
  <c r="DQ59" i="3"/>
  <c r="DM59" i="3" s="1"/>
  <c r="DO59" i="3"/>
  <c r="AQ59" i="3"/>
  <c r="AP59" i="3"/>
  <c r="M59" i="3"/>
  <c r="EJ59" i="3" s="1"/>
  <c r="K59" i="3"/>
  <c r="CZ59" i="3" s="1"/>
  <c r="EG58" i="3"/>
  <c r="EH58" i="3" s="1"/>
  <c r="DT58" i="3"/>
  <c r="DU58" i="3" s="1"/>
  <c r="DR58" i="3"/>
  <c r="DS58" i="3" s="1"/>
  <c r="DQ58" i="3"/>
  <c r="DH58" i="3" s="1"/>
  <c r="DO58" i="3"/>
  <c r="CO58" i="3"/>
  <c r="CN58" i="3"/>
  <c r="AQ58" i="3"/>
  <c r="AP58" i="3"/>
  <c r="AN58" i="3"/>
  <c r="AO58" i="3" s="1"/>
  <c r="AM58" i="3"/>
  <c r="AH58" i="3"/>
  <c r="AE58" i="3"/>
  <c r="AA58" i="3"/>
  <c r="Z58" i="3"/>
  <c r="O58" i="3" s="1"/>
  <c r="Y58" i="3"/>
  <c r="W58" i="3"/>
  <c r="S58" i="3"/>
  <c r="AE180" i="3" s="1"/>
  <c r="M58" i="3"/>
  <c r="EJ58" i="3" s="1"/>
  <c r="L58" i="3"/>
  <c r="FG57" i="3"/>
  <c r="FT56" i="3"/>
  <c r="FS56" i="3"/>
  <c r="FL56" i="3"/>
  <c r="EG56" i="3"/>
  <c r="DT56" i="3"/>
  <c r="DU56" i="3" s="1"/>
  <c r="DR56" i="3"/>
  <c r="DS56" i="3" s="1"/>
  <c r="DQ56" i="3"/>
  <c r="DK56" i="3" s="1"/>
  <c r="DO56" i="3"/>
  <c r="AQ56" i="3"/>
  <c r="AP56" i="3"/>
  <c r="K56" i="3"/>
  <c r="EG55" i="3"/>
  <c r="EH55" i="3" s="1"/>
  <c r="FS57" i="3" s="1"/>
  <c r="DT55" i="3"/>
  <c r="DU55" i="3" s="1"/>
  <c r="DR55" i="3"/>
  <c r="DS55" i="3" s="1"/>
  <c r="DQ55" i="3"/>
  <c r="DK55" i="3" s="1"/>
  <c r="DO55" i="3"/>
  <c r="CO55" i="3"/>
  <c r="AQ55" i="3"/>
  <c r="AP55" i="3"/>
  <c r="AM55" i="3"/>
  <c r="W55" i="3"/>
  <c r="CM55" i="3" s="1"/>
  <c r="S55" i="3"/>
  <c r="AD180" i="3" s="1"/>
  <c r="L55" i="3"/>
  <c r="DI58" i="3" l="1"/>
  <c r="DI59" i="3"/>
  <c r="DK59" i="3"/>
  <c r="DM55" i="3"/>
  <c r="DM58" i="3"/>
  <c r="DI67" i="3"/>
  <c r="E361" i="18"/>
  <c r="DK58" i="3"/>
  <c r="DM61" i="3"/>
  <c r="DM67" i="3"/>
  <c r="G364" i="18"/>
  <c r="DI64" i="3"/>
  <c r="DI65" i="3"/>
  <c r="EH64" i="3"/>
  <c r="FT66" i="3" s="1"/>
  <c r="GB65" i="3"/>
  <c r="GE65" i="3" s="1"/>
  <c r="FJ65" i="3"/>
  <c r="FJ66" i="3"/>
  <c r="FO65" i="3" s="1"/>
  <c r="FR65" i="3" s="1"/>
  <c r="G365" i="18"/>
  <c r="G17" i="18"/>
  <c r="G19" i="18" s="1"/>
  <c r="G20" i="18" s="1"/>
  <c r="F361" i="18"/>
  <c r="AD68" i="3"/>
  <c r="DI56" i="3"/>
  <c r="DM56" i="3"/>
  <c r="DI55" i="3"/>
  <c r="FJ56" i="3"/>
  <c r="GA56" i="3"/>
  <c r="GD56" i="3" s="1"/>
  <c r="FJ57" i="3"/>
  <c r="FT57" i="3"/>
  <c r="FK56" i="3"/>
  <c r="GB56" i="3"/>
  <c r="GE56" i="3" s="1"/>
  <c r="S8" i="18"/>
  <c r="H8" i="18" s="1"/>
  <c r="E43" i="18"/>
  <c r="H361" i="18"/>
  <c r="G23" i="18"/>
  <c r="G25" i="18" s="1"/>
  <c r="DH55" i="3"/>
  <c r="FP59" i="3"/>
  <c r="FP60" i="3" s="1"/>
  <c r="AC61" i="3"/>
  <c r="N61" i="3" s="1"/>
  <c r="AG61" i="3"/>
  <c r="EJ61" i="3"/>
  <c r="AD62" i="3"/>
  <c r="DY62" i="3"/>
  <c r="EA62" i="3" s="1"/>
  <c r="EJ62" i="3"/>
  <c r="FP62" i="3"/>
  <c r="FP63" i="3" s="1"/>
  <c r="FO63" i="3"/>
  <c r="AC67" i="3"/>
  <c r="N67" i="3" s="1"/>
  <c r="AG67" i="3"/>
  <c r="DG67" i="3"/>
  <c r="EJ67" i="3"/>
  <c r="AG68" i="3"/>
  <c r="CS68" i="3"/>
  <c r="DF68" i="3"/>
  <c r="FQ68" i="3"/>
  <c r="FQ69" i="3" s="1"/>
  <c r="FR59" i="3"/>
  <c r="FR60" i="3" s="1"/>
  <c r="DG61" i="3"/>
  <c r="AG62" i="3"/>
  <c r="CS62" i="3"/>
  <c r="DF62" i="3"/>
  <c r="AD58" i="3"/>
  <c r="AF58" i="3"/>
  <c r="CS58" i="3"/>
  <c r="DF58" i="3"/>
  <c r="EI58" i="3"/>
  <c r="AC59" i="3"/>
  <c r="N59" i="3" s="1"/>
  <c r="AF59" i="3"/>
  <c r="DG59" i="3"/>
  <c r="EI59" i="3"/>
  <c r="FN60" i="3"/>
  <c r="FQ59" i="3"/>
  <c r="FQ60" i="3" s="1"/>
  <c r="DH61" i="3"/>
  <c r="AC58" i="3"/>
  <c r="N58" i="3" s="1"/>
  <c r="AG58" i="3"/>
  <c r="DG58" i="3"/>
  <c r="AD59" i="3"/>
  <c r="AG59" i="3"/>
  <c r="CS59" i="3"/>
  <c r="DF59" i="3"/>
  <c r="DY59" i="3"/>
  <c r="EA59" i="3" s="1"/>
  <c r="DK61" i="3"/>
  <c r="AD61" i="3"/>
  <c r="AF61" i="3"/>
  <c r="CS61" i="3"/>
  <c r="DF61" i="3"/>
  <c r="AC62" i="3"/>
  <c r="N62" i="3" s="1"/>
  <c r="AF62" i="3"/>
  <c r="DG62" i="3"/>
  <c r="FQ62" i="3"/>
  <c r="FQ63" i="3" s="1"/>
  <c r="DH64" i="3"/>
  <c r="DY68" i="3"/>
  <c r="EA68" i="3" s="1"/>
  <c r="EJ68" i="3"/>
  <c r="FP68" i="3"/>
  <c r="FP69" i="3" s="1"/>
  <c r="FR68" i="3"/>
  <c r="FR69" i="3" s="1"/>
  <c r="AD67" i="3"/>
  <c r="AF67" i="3"/>
  <c r="CS67" i="3"/>
  <c r="DF67" i="3"/>
  <c r="DH67" i="3"/>
  <c r="AC68" i="3"/>
  <c r="N68" i="3" s="1"/>
  <c r="AF68" i="3"/>
  <c r="DG68" i="3"/>
  <c r="GA65" i="3" l="1"/>
  <c r="GD65" i="3" s="1"/>
  <c r="FS66" i="3"/>
  <c r="FK65" i="3"/>
  <c r="FR66" i="3"/>
  <c r="FZ65" i="3"/>
  <c r="FZ66" i="3" s="1"/>
  <c r="FO66" i="3"/>
  <c r="FW65" i="3"/>
  <c r="FW66" i="3" s="1"/>
  <c r="G21" i="18"/>
  <c r="H23" i="18"/>
  <c r="H25" i="18" s="1"/>
  <c r="H365" i="18"/>
  <c r="W43" i="15"/>
  <c r="W31" i="15"/>
  <c r="W25" i="15"/>
  <c r="CM52" i="3"/>
  <c r="CM49" i="3"/>
  <c r="CM46" i="3"/>
  <c r="CM43" i="3"/>
  <c r="CM38" i="3"/>
  <c r="CM36" i="3"/>
  <c r="CM34" i="3"/>
  <c r="CM32" i="3"/>
  <c r="CM30" i="3"/>
  <c r="CM28" i="3"/>
  <c r="CM26" i="3"/>
  <c r="CM24" i="3"/>
  <c r="CM22" i="3"/>
  <c r="CM20" i="3"/>
  <c r="CM18" i="3"/>
  <c r="CM16" i="3"/>
  <c r="CM14" i="3"/>
  <c r="CM12" i="3"/>
  <c r="CM10" i="3"/>
  <c r="H21" i="18" l="1"/>
  <c r="T43" i="15"/>
  <c r="M165" i="15" s="1"/>
  <c r="T37" i="15"/>
  <c r="L165" i="15" s="1"/>
  <c r="T31" i="15"/>
  <c r="K165" i="15" s="1"/>
  <c r="T25" i="15"/>
  <c r="J165" i="15" s="1"/>
  <c r="V93" i="15"/>
  <c r="R165" i="15" s="1"/>
  <c r="V85" i="15"/>
  <c r="Q165" i="15" s="1"/>
  <c r="V77" i="15"/>
  <c r="P165" i="15" s="1"/>
  <c r="V69" i="15"/>
  <c r="O165" i="15" s="1"/>
  <c r="U73" i="15"/>
  <c r="Q73" i="15" s="1"/>
  <c r="DM73" i="15"/>
  <c r="V61" i="15"/>
  <c r="N165" i="15" s="1"/>
  <c r="CY39" i="15"/>
  <c r="CY27" i="15"/>
  <c r="CY21" i="15"/>
  <c r="T19" i="15"/>
  <c r="I165" i="15" s="1"/>
  <c r="BU58" i="14"/>
  <c r="DM89" i="14"/>
  <c r="DM65" i="14"/>
  <c r="CY39" i="14"/>
  <c r="CY33" i="14"/>
  <c r="CY27" i="14"/>
  <c r="CY21" i="14"/>
  <c r="U89" i="14"/>
  <c r="Q89" i="14" s="1"/>
  <c r="U65" i="14"/>
  <c r="Q65" i="14" s="1"/>
  <c r="U93" i="14"/>
  <c r="U85" i="14"/>
  <c r="U77" i="14"/>
  <c r="U69" i="14"/>
  <c r="U61" i="14"/>
  <c r="T43" i="14"/>
  <c r="T37" i="14"/>
  <c r="T31" i="14"/>
  <c r="T25" i="14"/>
  <c r="T19" i="14"/>
  <c r="I165" i="14" s="1"/>
  <c r="AC182" i="3"/>
  <c r="AC181" i="3"/>
  <c r="AC179" i="3"/>
  <c r="AC178" i="3"/>
  <c r="AB182" i="3"/>
  <c r="AB181" i="3"/>
  <c r="AB179" i="3"/>
  <c r="AB178" i="3"/>
  <c r="AA182" i="3"/>
  <c r="AA181" i="3"/>
  <c r="AA179" i="3"/>
  <c r="AA178" i="3"/>
  <c r="Z182" i="3"/>
  <c r="Z181" i="3"/>
  <c r="Z179" i="3"/>
  <c r="Z178" i="3"/>
  <c r="Y182" i="3"/>
  <c r="Y181" i="3"/>
  <c r="Y179" i="3"/>
  <c r="Y178" i="3"/>
  <c r="X182" i="3"/>
  <c r="X181" i="3"/>
  <c r="X179" i="3"/>
  <c r="X178" i="3"/>
  <c r="W179" i="3"/>
  <c r="W182" i="3"/>
  <c r="W181" i="3"/>
  <c r="W178" i="3"/>
  <c r="V182" i="3"/>
  <c r="V181" i="3"/>
  <c r="V179" i="3"/>
  <c r="V178" i="3"/>
  <c r="U182" i="3"/>
  <c r="U181" i="3"/>
  <c r="U179" i="3"/>
  <c r="U178" i="3"/>
  <c r="T182" i="3"/>
  <c r="T181" i="3"/>
  <c r="T179" i="3"/>
  <c r="T178" i="3"/>
  <c r="S182" i="3"/>
  <c r="S181" i="3"/>
  <c r="S179" i="3"/>
  <c r="S178" i="3"/>
  <c r="R182" i="3"/>
  <c r="R181" i="3"/>
  <c r="R179" i="3"/>
  <c r="R178" i="3"/>
  <c r="Q182" i="3"/>
  <c r="Q181" i="3"/>
  <c r="Q179" i="3"/>
  <c r="Q178" i="3"/>
  <c r="P182" i="3"/>
  <c r="P181" i="3"/>
  <c r="P179" i="3"/>
  <c r="P178" i="3"/>
  <c r="O182" i="3"/>
  <c r="O181" i="3"/>
  <c r="O179" i="3"/>
  <c r="O178" i="3"/>
  <c r="N182" i="3"/>
  <c r="N181" i="3"/>
  <c r="N179" i="3"/>
  <c r="N178" i="3"/>
  <c r="M182" i="3"/>
  <c r="M181" i="3"/>
  <c r="M179" i="3"/>
  <c r="M178" i="3"/>
  <c r="L182" i="3"/>
  <c r="L181" i="3"/>
  <c r="L179" i="3"/>
  <c r="L178" i="3"/>
  <c r="K182" i="3"/>
  <c r="K181" i="3"/>
  <c r="K179" i="3"/>
  <c r="K178" i="3"/>
  <c r="J182" i="3"/>
  <c r="J181" i="3"/>
  <c r="J179" i="3"/>
  <c r="J178" i="3"/>
  <c r="I182" i="3"/>
  <c r="I181" i="3"/>
  <c r="I179" i="3"/>
  <c r="I178" i="3"/>
  <c r="S52" i="3"/>
  <c r="AC180" i="3" s="1"/>
  <c r="S49" i="3"/>
  <c r="AB180" i="3" s="1"/>
  <c r="S46" i="3"/>
  <c r="AA180" i="3" s="1"/>
  <c r="S43" i="3"/>
  <c r="Z180" i="3" s="1"/>
  <c r="S40" i="3"/>
  <c r="Y180" i="3" s="1"/>
  <c r="S38" i="3"/>
  <c r="X180" i="3" s="1"/>
  <c r="S36" i="3"/>
  <c r="W180" i="3" s="1"/>
  <c r="S34" i="3"/>
  <c r="V180" i="3" s="1"/>
  <c r="S32" i="3"/>
  <c r="U180" i="3" s="1"/>
  <c r="S30" i="3"/>
  <c r="T180" i="3" s="1"/>
  <c r="S28" i="3"/>
  <c r="S180" i="3" s="1"/>
  <c r="S26" i="3"/>
  <c r="R180" i="3" s="1"/>
  <c r="S24" i="3"/>
  <c r="Q180" i="3" s="1"/>
  <c r="S22" i="3"/>
  <c r="P180" i="3" s="1"/>
  <c r="S20" i="3"/>
  <c r="O180" i="3" s="1"/>
  <c r="S18" i="3"/>
  <c r="N180" i="3" s="1"/>
  <c r="S16" i="3"/>
  <c r="M180" i="3" s="1"/>
  <c r="S14" i="3"/>
  <c r="L180" i="3" s="1"/>
  <c r="S12" i="3"/>
  <c r="K180" i="3" s="1"/>
  <c r="S10" i="3"/>
  <c r="J180" i="3" s="1"/>
  <c r="S8" i="3"/>
  <c r="I180" i="3" s="1"/>
  <c r="R167" i="14"/>
  <c r="R166" i="14"/>
  <c r="R165" i="14"/>
  <c r="R164" i="14"/>
  <c r="R163" i="14"/>
  <c r="Q167" i="14"/>
  <c r="Q166" i="14"/>
  <c r="Q165" i="14"/>
  <c r="Q164" i="14"/>
  <c r="Q163" i="14"/>
  <c r="P167" i="14"/>
  <c r="P166" i="14"/>
  <c r="P164" i="14"/>
  <c r="P163" i="14"/>
  <c r="O167" i="14"/>
  <c r="O166" i="14"/>
  <c r="O165" i="14"/>
  <c r="O164" i="14"/>
  <c r="O163" i="14"/>
  <c r="N167" i="14"/>
  <c r="N166" i="14"/>
  <c r="N164" i="14"/>
  <c r="N163" i="14"/>
  <c r="M167" i="14"/>
  <c r="M166" i="14"/>
  <c r="M165" i="14"/>
  <c r="M164" i="14"/>
  <c r="M163" i="14"/>
  <c r="L167" i="14"/>
  <c r="L166" i="14"/>
  <c r="L165" i="14"/>
  <c r="L164" i="14"/>
  <c r="L163" i="14"/>
  <c r="K167" i="14"/>
  <c r="K166" i="14"/>
  <c r="K165" i="14"/>
  <c r="K164" i="14"/>
  <c r="K163" i="14"/>
  <c r="J167" i="14"/>
  <c r="J166" i="14"/>
  <c r="J164" i="14"/>
  <c r="J163" i="14"/>
  <c r="I167" i="14"/>
  <c r="I166" i="14"/>
  <c r="I164" i="14"/>
  <c r="I163" i="14"/>
  <c r="L169" i="14" l="1"/>
  <c r="W38" i="14" s="1"/>
  <c r="L170" i="14"/>
  <c r="R169" i="14"/>
  <c r="R170" i="14"/>
  <c r="W191" i="3"/>
  <c r="W192" i="3" s="1"/>
  <c r="W185" i="3"/>
  <c r="W184" i="3"/>
  <c r="V37" i="3" s="1"/>
  <c r="M169" i="14"/>
  <c r="W44" i="14" s="1"/>
  <c r="M170" i="14"/>
  <c r="I169" i="14"/>
  <c r="W20" i="14" s="1"/>
  <c r="I170" i="14"/>
  <c r="O169" i="14"/>
  <c r="O170" i="14"/>
  <c r="J191" i="3"/>
  <c r="J192" i="3" s="1"/>
  <c r="J184" i="3"/>
  <c r="V11" i="3" s="1"/>
  <c r="J185" i="3"/>
  <c r="K191" i="3"/>
  <c r="K192" i="3" s="1"/>
  <c r="K185" i="3"/>
  <c r="K184" i="3"/>
  <c r="V13" i="3" s="1"/>
  <c r="L191" i="3"/>
  <c r="L192" i="3" s="1"/>
  <c r="L184" i="3"/>
  <c r="V15" i="3" s="1"/>
  <c r="L185" i="3"/>
  <c r="M191" i="3"/>
  <c r="M192" i="3" s="1"/>
  <c r="M185" i="3"/>
  <c r="M184" i="3"/>
  <c r="V17" i="3" s="1"/>
  <c r="N191" i="3"/>
  <c r="N192" i="3" s="1"/>
  <c r="N184" i="3"/>
  <c r="V19" i="3" s="1"/>
  <c r="N185" i="3"/>
  <c r="O191" i="3"/>
  <c r="O192" i="3" s="1"/>
  <c r="O185" i="3"/>
  <c r="O184" i="3"/>
  <c r="V21" i="3" s="1"/>
  <c r="P191" i="3"/>
  <c r="P192" i="3" s="1"/>
  <c r="P184" i="3"/>
  <c r="V23" i="3" s="1"/>
  <c r="P185" i="3"/>
  <c r="Q191" i="3"/>
  <c r="Q192" i="3" s="1"/>
  <c r="Q185" i="3"/>
  <c r="Q184" i="3"/>
  <c r="V25" i="3" s="1"/>
  <c r="R191" i="3"/>
  <c r="R192" i="3" s="1"/>
  <c r="R184" i="3"/>
  <c r="V27" i="3" s="1"/>
  <c r="R185" i="3"/>
  <c r="S191" i="3"/>
  <c r="S192" i="3" s="1"/>
  <c r="S185" i="3"/>
  <c r="S184" i="3"/>
  <c r="V29" i="3" s="1"/>
  <c r="T191" i="3"/>
  <c r="T192" i="3" s="1"/>
  <c r="T184" i="3"/>
  <c r="V31" i="3" s="1"/>
  <c r="T185" i="3"/>
  <c r="U191" i="3"/>
  <c r="U192" i="3" s="1"/>
  <c r="U185" i="3"/>
  <c r="U184" i="3"/>
  <c r="V33" i="3" s="1"/>
  <c r="V191" i="3"/>
  <c r="V192" i="3" s="1"/>
  <c r="V184" i="3"/>
  <c r="V35" i="3" s="1"/>
  <c r="V185" i="3"/>
  <c r="X191" i="3"/>
  <c r="X192" i="3" s="1"/>
  <c r="X184" i="3"/>
  <c r="V39" i="3" s="1"/>
  <c r="X185" i="3"/>
  <c r="Z191" i="3"/>
  <c r="Z192" i="3" s="1"/>
  <c r="Z185" i="3"/>
  <c r="Z184" i="3"/>
  <c r="V44" i="3" s="1"/>
  <c r="AA191" i="3"/>
  <c r="AA192" i="3" s="1"/>
  <c r="AA184" i="3"/>
  <c r="V47" i="3" s="1"/>
  <c r="AA185" i="3"/>
  <c r="AB191" i="3"/>
  <c r="AB192" i="3" s="1"/>
  <c r="AB185" i="3"/>
  <c r="AB184" i="3"/>
  <c r="V50" i="3" s="1"/>
  <c r="AC191" i="3"/>
  <c r="AC192" i="3" s="1"/>
  <c r="AC185" i="3"/>
  <c r="AC184" i="3"/>
  <c r="V53" i="3" s="1"/>
  <c r="J169" i="14"/>
  <c r="W26" i="14" s="1"/>
  <c r="J170" i="14"/>
  <c r="K169" i="14"/>
  <c r="W32" i="14" s="1"/>
  <c r="K170" i="14"/>
  <c r="Q169" i="14"/>
  <c r="Q170" i="14"/>
  <c r="P169" i="14"/>
  <c r="X78" i="14" s="1"/>
  <c r="P170" i="14"/>
  <c r="Y191" i="3"/>
  <c r="T39" i="14"/>
  <c r="P39" i="14" s="1"/>
  <c r="T27" i="14"/>
  <c r="P27" i="14" s="1"/>
  <c r="T21" i="14"/>
  <c r="P21" i="14" s="1"/>
  <c r="FX65" i="3" l="1"/>
  <c r="FX66" i="3" s="1"/>
  <c r="FY65" i="3"/>
  <c r="FY66" i="3" s="1"/>
  <c r="FU65" i="3"/>
  <c r="FU66" i="3" s="1"/>
  <c r="FV65" i="3"/>
  <c r="FV66" i="3" s="1"/>
  <c r="M72" i="18"/>
  <c r="M74" i="18" s="1"/>
  <c r="FX56" i="3"/>
  <c r="FX57" i="3" s="1"/>
  <c r="FV56" i="3"/>
  <c r="FV57" i="3" s="1"/>
  <c r="FU56" i="3"/>
  <c r="FU57" i="3" s="1"/>
  <c r="FY56" i="3"/>
  <c r="FY57" i="3" s="1"/>
  <c r="Z52" i="3"/>
  <c r="O52" i="3" s="1"/>
  <c r="Z49" i="3"/>
  <c r="O49" i="3" s="1"/>
  <c r="Z46" i="3"/>
  <c r="O46" i="3" s="1"/>
  <c r="Z43" i="3"/>
  <c r="O43" i="3" s="1"/>
  <c r="Z38" i="3"/>
  <c r="O38" i="3" s="1"/>
  <c r="Z36" i="3"/>
  <c r="O36" i="3" s="1"/>
  <c r="Z34" i="3"/>
  <c r="O34" i="3" s="1"/>
  <c r="Z32" i="3"/>
  <c r="O32" i="3" s="1"/>
  <c r="Z30" i="3"/>
  <c r="O30" i="3" s="1"/>
  <c r="Z28" i="3"/>
  <c r="O28" i="3" s="1"/>
  <c r="Z26" i="3"/>
  <c r="O26" i="3" s="1"/>
  <c r="Z24" i="3"/>
  <c r="O24" i="3" s="1"/>
  <c r="Z22" i="3"/>
  <c r="O22" i="3" s="1"/>
  <c r="Z20" i="3"/>
  <c r="O20" i="3" s="1"/>
  <c r="Z18" i="3"/>
  <c r="O18" i="3" s="1"/>
  <c r="Z16" i="3"/>
  <c r="O16" i="3" s="1"/>
  <c r="Z12" i="3"/>
  <c r="O12" i="3" s="1"/>
  <c r="Z10" i="3"/>
  <c r="O10" i="3" s="1"/>
  <c r="EG52" i="3" l="1"/>
  <c r="EG49" i="3"/>
  <c r="EG46" i="3"/>
  <c r="EH46" i="3" s="1"/>
  <c r="FT48" i="3" s="1"/>
  <c r="EG40" i="3"/>
  <c r="EG43" i="3"/>
  <c r="FL53" i="3"/>
  <c r="FK53" i="3"/>
  <c r="FL50" i="3"/>
  <c r="FK50" i="3"/>
  <c r="FL47" i="3"/>
  <c r="FK47" i="3"/>
  <c r="FL41" i="3"/>
  <c r="FL44" i="3"/>
  <c r="FK44" i="3"/>
  <c r="FJ54" i="3"/>
  <c r="FJ53" i="3"/>
  <c r="FJ51" i="3"/>
  <c r="FJ50" i="3"/>
  <c r="FJ48" i="3"/>
  <c r="FJ47" i="3"/>
  <c r="FJ45" i="3"/>
  <c r="FJ44" i="3"/>
  <c r="FZ53" i="3"/>
  <c r="FY53" i="3"/>
  <c r="FX53" i="3"/>
  <c r="FW53" i="3"/>
  <c r="FV53" i="3"/>
  <c r="FU53" i="3"/>
  <c r="FZ50" i="3"/>
  <c r="FY50" i="3"/>
  <c r="FX50" i="3"/>
  <c r="FW50" i="3"/>
  <c r="FV50" i="3"/>
  <c r="FU50" i="3"/>
  <c r="FZ47" i="3"/>
  <c r="FY47" i="3"/>
  <c r="FX47" i="3"/>
  <c r="FW47" i="3"/>
  <c r="FV47" i="3"/>
  <c r="FU47" i="3"/>
  <c r="FZ44" i="3"/>
  <c r="FY44" i="3"/>
  <c r="FX44" i="3"/>
  <c r="FW44" i="3"/>
  <c r="FV44" i="3"/>
  <c r="FU44" i="3"/>
  <c r="GB53" i="3"/>
  <c r="GA53" i="3"/>
  <c r="GB50" i="3"/>
  <c r="GA50" i="3"/>
  <c r="GB47" i="3"/>
  <c r="GA47" i="3"/>
  <c r="GB44" i="3"/>
  <c r="GA44" i="3"/>
  <c r="FG54" i="3"/>
  <c r="FT53" i="3"/>
  <c r="FS53" i="3"/>
  <c r="EG53" i="3"/>
  <c r="DT53" i="3"/>
  <c r="DU53" i="3" s="1"/>
  <c r="DR53" i="3"/>
  <c r="DS53" i="3" s="1"/>
  <c r="DQ53" i="3"/>
  <c r="DM53" i="3" s="1"/>
  <c r="DO53" i="3"/>
  <c r="DK53" i="3"/>
  <c r="DI53" i="3"/>
  <c r="AQ53" i="3"/>
  <c r="AP53" i="3"/>
  <c r="K53" i="3"/>
  <c r="EH52" i="3"/>
  <c r="FT54" i="3" s="1"/>
  <c r="DT52" i="3"/>
  <c r="DU52" i="3" s="1"/>
  <c r="DR52" i="3"/>
  <c r="DS52" i="3" s="1"/>
  <c r="DQ52" i="3"/>
  <c r="DH52" i="3" s="1"/>
  <c r="DO52" i="3"/>
  <c r="DI52" i="3"/>
  <c r="CO52" i="3"/>
  <c r="AQ52" i="3"/>
  <c r="AP52" i="3"/>
  <c r="AM52" i="3"/>
  <c r="W52" i="3"/>
  <c r="L52" i="3"/>
  <c r="FG51" i="3"/>
  <c r="FT50" i="3"/>
  <c r="FS50" i="3"/>
  <c r="EG50" i="3"/>
  <c r="DT50" i="3"/>
  <c r="DU50" i="3" s="1"/>
  <c r="DR50" i="3"/>
  <c r="DS50" i="3" s="1"/>
  <c r="DQ50" i="3"/>
  <c r="DO50" i="3"/>
  <c r="DM50" i="3"/>
  <c r="DK50" i="3"/>
  <c r="DI50" i="3"/>
  <c r="AQ50" i="3"/>
  <c r="AP50" i="3"/>
  <c r="K50" i="3"/>
  <c r="EH49" i="3"/>
  <c r="FT51" i="3" s="1"/>
  <c r="DT49" i="3"/>
  <c r="DU49" i="3" s="1"/>
  <c r="DR49" i="3"/>
  <c r="DS49" i="3" s="1"/>
  <c r="DQ49" i="3"/>
  <c r="DH49" i="3" s="1"/>
  <c r="DO49" i="3"/>
  <c r="DM49" i="3"/>
  <c r="DK49" i="3"/>
  <c r="DI49" i="3"/>
  <c r="CO49" i="3"/>
  <c r="AQ49" i="3"/>
  <c r="AP49" i="3"/>
  <c r="AM49" i="3"/>
  <c r="W49" i="3"/>
  <c r="L49" i="3"/>
  <c r="FG48" i="3"/>
  <c r="FT47" i="3"/>
  <c r="FS47" i="3"/>
  <c r="EG47" i="3"/>
  <c r="DT47" i="3"/>
  <c r="DU47" i="3" s="1"/>
  <c r="DR47" i="3"/>
  <c r="DS47" i="3" s="1"/>
  <c r="DQ47" i="3"/>
  <c r="DO47" i="3"/>
  <c r="DM47" i="3"/>
  <c r="DK47" i="3"/>
  <c r="DI47" i="3"/>
  <c r="AQ47" i="3"/>
  <c r="AP47" i="3"/>
  <c r="K47" i="3"/>
  <c r="DT46" i="3"/>
  <c r="DU46" i="3" s="1"/>
  <c r="DR46" i="3"/>
  <c r="DS46" i="3" s="1"/>
  <c r="DQ46" i="3"/>
  <c r="DM46" i="3" s="1"/>
  <c r="DO46" i="3"/>
  <c r="CO46" i="3"/>
  <c r="AQ46" i="3"/>
  <c r="AP46" i="3"/>
  <c r="AM46" i="3"/>
  <c r="W46" i="3"/>
  <c r="L46" i="3"/>
  <c r="FG45" i="3"/>
  <c r="FT44" i="3"/>
  <c r="FS44" i="3"/>
  <c r="EG44" i="3"/>
  <c r="DT44" i="3"/>
  <c r="DU44" i="3" s="1"/>
  <c r="DR44" i="3"/>
  <c r="DS44" i="3" s="1"/>
  <c r="DQ44" i="3"/>
  <c r="DK44" i="3" s="1"/>
  <c r="DO44" i="3"/>
  <c r="DI44" i="3"/>
  <c r="AQ44" i="3"/>
  <c r="AP44" i="3"/>
  <c r="K44" i="3"/>
  <c r="EH43" i="3"/>
  <c r="FT45" i="3" s="1"/>
  <c r="DT43" i="3"/>
  <c r="DU43" i="3" s="1"/>
  <c r="DR43" i="3"/>
  <c r="DS43" i="3" s="1"/>
  <c r="DQ43" i="3"/>
  <c r="DK43" i="3" s="1"/>
  <c r="DO43" i="3"/>
  <c r="DM43" i="3"/>
  <c r="DH43" i="3"/>
  <c r="CO43" i="3"/>
  <c r="AQ43" i="3"/>
  <c r="AP43" i="3"/>
  <c r="AM43" i="3"/>
  <c r="W43" i="3"/>
  <c r="L43" i="3"/>
  <c r="FG42" i="3"/>
  <c r="EG41" i="3"/>
  <c r="EH40" i="3"/>
  <c r="FJ41" i="3" s="1"/>
  <c r="W209" i="3"/>
  <c r="O599" i="14"/>
  <c r="DI46" i="3" l="1"/>
  <c r="DM44" i="3"/>
  <c r="DK52" i="3"/>
  <c r="DI43" i="3"/>
  <c r="DK46" i="3"/>
  <c r="DM52" i="3"/>
  <c r="DH46" i="3"/>
  <c r="GB41" i="3"/>
  <c r="FJ42" i="3"/>
  <c r="GA41" i="3"/>
  <c r="FK41" i="3"/>
  <c r="GE53" i="3"/>
  <c r="FS54" i="3"/>
  <c r="GD53" i="3"/>
  <c r="GE50" i="3"/>
  <c r="FS51" i="3"/>
  <c r="GD50" i="3"/>
  <c r="GE47" i="3"/>
  <c r="FS48" i="3"/>
  <c r="GD47" i="3"/>
  <c r="GE44" i="3"/>
  <c r="FS45" i="3"/>
  <c r="GD44" i="3"/>
  <c r="AC73" i="15"/>
  <c r="Z73" i="15"/>
  <c r="BM7" i="15"/>
  <c r="AN89" i="15" l="1"/>
  <c r="AN81" i="15"/>
  <c r="AN73" i="15"/>
  <c r="AN65" i="15"/>
  <c r="AN57" i="15"/>
  <c r="Y77" i="15"/>
  <c r="Y69" i="15"/>
  <c r="AQ44" i="15" l="1"/>
  <c r="BR43" i="15"/>
  <c r="BN43" i="15"/>
  <c r="BM43" i="15"/>
  <c r="AU44" i="15" s="1"/>
  <c r="BL43" i="15"/>
  <c r="AS43" i="15"/>
  <c r="AQ43" i="15"/>
  <c r="BU42" i="15"/>
  <c r="BV42" i="15" s="1"/>
  <c r="BT42" i="15"/>
  <c r="BR42" i="15"/>
  <c r="AW42" i="15"/>
  <c r="AY42" i="15" s="1"/>
  <c r="BC42" i="15" s="1"/>
  <c r="BE42" i="15" s="1"/>
  <c r="AU42" i="15"/>
  <c r="BC44" i="15" s="1"/>
  <c r="AQ42" i="15"/>
  <c r="BA41" i="15"/>
  <c r="AW41" i="15"/>
  <c r="AY41" i="15" s="1"/>
  <c r="BC41" i="15" s="1"/>
  <c r="BE41" i="15" s="1"/>
  <c r="AU41" i="15"/>
  <c r="AT41" i="15"/>
  <c r="CX40" i="15"/>
  <c r="CW40" i="15"/>
  <c r="CB40" i="15"/>
  <c r="CB41" i="15" s="1"/>
  <c r="BR40" i="15"/>
  <c r="AU40" i="15"/>
  <c r="AT40" i="15"/>
  <c r="AP40" i="15"/>
  <c r="AP39" i="15"/>
  <c r="AN39" i="15"/>
  <c r="AQ38" i="15"/>
  <c r="BR37" i="15"/>
  <c r="BN37" i="15"/>
  <c r="BM37" i="15"/>
  <c r="AU38" i="15" s="1"/>
  <c r="BL37" i="15"/>
  <c r="AQ37" i="15"/>
  <c r="BA35" i="15" s="1"/>
  <c r="BT36" i="15"/>
  <c r="BR36" i="15"/>
  <c r="AW36" i="15"/>
  <c r="AY36" i="15" s="1"/>
  <c r="AU36" i="15"/>
  <c r="AQ36" i="15"/>
  <c r="AW35" i="15"/>
  <c r="AY35" i="15" s="1"/>
  <c r="AU35" i="15"/>
  <c r="AT35" i="15"/>
  <c r="CB34" i="15"/>
  <c r="CB35" i="15" s="1"/>
  <c r="BR34" i="15"/>
  <c r="AU34" i="15"/>
  <c r="AT34" i="15"/>
  <c r="AP34" i="15"/>
  <c r="AP33" i="15"/>
  <c r="AN33" i="15"/>
  <c r="AQ32" i="15"/>
  <c r="BR31" i="15"/>
  <c r="BU30" i="15" s="1"/>
  <c r="BV30" i="15" s="1"/>
  <c r="BN31" i="15"/>
  <c r="BM31" i="15"/>
  <c r="AU32" i="15" s="1"/>
  <c r="BL31" i="15"/>
  <c r="AS31" i="15"/>
  <c r="AQ31" i="15"/>
  <c r="BT30" i="15"/>
  <c r="BR30" i="15"/>
  <c r="AW30" i="15"/>
  <c r="AU30" i="15"/>
  <c r="AQ30" i="15"/>
  <c r="BA29" i="15"/>
  <c r="AW29" i="15"/>
  <c r="AY29" i="15" s="1"/>
  <c r="AU29" i="15"/>
  <c r="AT29" i="15"/>
  <c r="CX28" i="15"/>
  <c r="CW28" i="15"/>
  <c r="CB28" i="15"/>
  <c r="CB29" i="15" s="1"/>
  <c r="BR28" i="15"/>
  <c r="AU28" i="15"/>
  <c r="AT28" i="15"/>
  <c r="AP28" i="15"/>
  <c r="AP27" i="15"/>
  <c r="AN27" i="15"/>
  <c r="AQ26" i="15"/>
  <c r="BR25" i="15"/>
  <c r="BN25" i="15"/>
  <c r="BM25" i="15"/>
  <c r="AU26" i="15" s="1"/>
  <c r="BL25" i="15"/>
  <c r="AS25" i="15"/>
  <c r="AQ25" i="15"/>
  <c r="BU24" i="15"/>
  <c r="BV24" i="15" s="1"/>
  <c r="BT24" i="15"/>
  <c r="BR24" i="15"/>
  <c r="AW24" i="15"/>
  <c r="AY24" i="15" s="1"/>
  <c r="AU24" i="15"/>
  <c r="BC26" i="15" s="1"/>
  <c r="AQ24" i="15"/>
  <c r="BA23" i="15"/>
  <c r="AY23" i="15"/>
  <c r="BC23" i="15" s="1"/>
  <c r="BE23" i="15" s="1"/>
  <c r="AW23" i="15"/>
  <c r="AU23" i="15"/>
  <c r="AT23" i="15"/>
  <c r="CX22" i="15"/>
  <c r="CW22" i="15"/>
  <c r="CB22" i="15"/>
  <c r="CB23" i="15" s="1"/>
  <c r="BR22" i="15"/>
  <c r="AU22" i="15"/>
  <c r="AT22" i="15"/>
  <c r="AP22" i="15"/>
  <c r="AP21" i="15"/>
  <c r="AN21" i="15"/>
  <c r="AQ20" i="15"/>
  <c r="BR19" i="15"/>
  <c r="BU18" i="15" s="1"/>
  <c r="BV18" i="15" s="1"/>
  <c r="BN19" i="15"/>
  <c r="BM19" i="15"/>
  <c r="AU20" i="15" s="1"/>
  <c r="BL19" i="15"/>
  <c r="AQ19" i="15"/>
  <c r="BT18" i="15"/>
  <c r="BR18" i="15"/>
  <c r="AW18" i="15"/>
  <c r="AY18" i="15" s="1"/>
  <c r="AU18" i="15"/>
  <c r="AQ18" i="15"/>
  <c r="BA17" i="15"/>
  <c r="AW17" i="15"/>
  <c r="BJ8" i="15" s="1"/>
  <c r="AU17" i="15"/>
  <c r="AT17" i="15"/>
  <c r="CB16" i="15"/>
  <c r="CB17" i="15" s="1"/>
  <c r="BR16" i="15"/>
  <c r="AU16" i="15"/>
  <c r="AT16" i="15"/>
  <c r="AP16" i="15"/>
  <c r="AP15" i="15"/>
  <c r="AN15" i="15"/>
  <c r="BL94" i="15"/>
  <c r="BK94" i="15"/>
  <c r="AT93" i="15"/>
  <c r="BV92" i="15"/>
  <c r="AT92" i="15"/>
  <c r="AR92" i="15"/>
  <c r="BB93" i="15" s="1"/>
  <c r="BB94" i="15" s="1"/>
  <c r="BX91" i="15"/>
  <c r="BV91" i="15"/>
  <c r="AW91" i="15"/>
  <c r="AZ90" i="15" s="1"/>
  <c r="AU91" i="15"/>
  <c r="AZ89" i="15" s="1"/>
  <c r="BU90" i="15"/>
  <c r="AW90" i="15"/>
  <c r="AU90" i="15"/>
  <c r="BA90" i="15" s="1"/>
  <c r="DL89" i="15"/>
  <c r="DK89" i="15"/>
  <c r="CF89" i="15"/>
  <c r="CF90" i="15" s="1"/>
  <c r="BA89" i="15"/>
  <c r="AV89" i="15"/>
  <c r="BL86" i="15"/>
  <c r="BK86" i="15"/>
  <c r="AT85" i="15"/>
  <c r="BV84" i="15"/>
  <c r="AT84" i="15"/>
  <c r="AR84" i="15"/>
  <c r="BB85" i="15" s="1"/>
  <c r="BB86" i="15" s="1"/>
  <c r="BX83" i="15"/>
  <c r="BV83" i="15"/>
  <c r="AW83" i="15"/>
  <c r="AZ82" i="15" s="1"/>
  <c r="AU83" i="15"/>
  <c r="AZ81" i="15" s="1"/>
  <c r="BU82" i="15"/>
  <c r="AW82" i="15"/>
  <c r="BA81" i="15" s="1"/>
  <c r="AU82" i="15"/>
  <c r="BA82" i="15" s="1"/>
  <c r="DL81" i="15"/>
  <c r="DK81" i="15"/>
  <c r="CF81" i="15"/>
  <c r="CF82" i="15" s="1"/>
  <c r="AV81" i="15"/>
  <c r="BL78" i="15"/>
  <c r="BK78" i="15"/>
  <c r="AT77" i="15"/>
  <c r="BV76" i="15"/>
  <c r="BY75" i="15" s="1"/>
  <c r="BZ75" i="15" s="1"/>
  <c r="AT76" i="15"/>
  <c r="AR76" i="15"/>
  <c r="BB77" i="15" s="1"/>
  <c r="BB78" i="15" s="1"/>
  <c r="BX75" i="15"/>
  <c r="BV75" i="15"/>
  <c r="AW75" i="15"/>
  <c r="AU75" i="15"/>
  <c r="BU74" i="15"/>
  <c r="AZ74" i="15"/>
  <c r="AW74" i="15"/>
  <c r="BA73" i="15" s="1"/>
  <c r="AU74" i="15"/>
  <c r="BA74" i="15" s="1"/>
  <c r="DL73" i="15"/>
  <c r="DK73" i="15"/>
  <c r="CF73" i="15"/>
  <c r="CF74" i="15" s="1"/>
  <c r="AZ73" i="15"/>
  <c r="AV73" i="15"/>
  <c r="BL70" i="15"/>
  <c r="BK70" i="15"/>
  <c r="AT69" i="15"/>
  <c r="BV68" i="15"/>
  <c r="AT68" i="15"/>
  <c r="AR68" i="15"/>
  <c r="BB69" i="15" s="1"/>
  <c r="BB70" i="15" s="1"/>
  <c r="BX67" i="15"/>
  <c r="BV67" i="15"/>
  <c r="AW67" i="15"/>
  <c r="AZ66" i="15" s="1"/>
  <c r="AU67" i="15"/>
  <c r="AZ65" i="15" s="1"/>
  <c r="BU66" i="15"/>
  <c r="AW66" i="15"/>
  <c r="BA65" i="15" s="1"/>
  <c r="AU66" i="15"/>
  <c r="BA66" i="15" s="1"/>
  <c r="DL65" i="15"/>
  <c r="DK65" i="15"/>
  <c r="CF65" i="15"/>
  <c r="CF66" i="15" s="1"/>
  <c r="AV65" i="15"/>
  <c r="BL62" i="15"/>
  <c r="BK62" i="15"/>
  <c r="AT61" i="15"/>
  <c r="BV60" i="15"/>
  <c r="AR60" i="15"/>
  <c r="BX59" i="15"/>
  <c r="BV59" i="15"/>
  <c r="AW59" i="15"/>
  <c r="AZ58" i="15" s="1"/>
  <c r="AU59" i="15"/>
  <c r="AZ57" i="15" s="1"/>
  <c r="BU58" i="15"/>
  <c r="AW58" i="15"/>
  <c r="BA57" i="15" s="1"/>
  <c r="AU58" i="15"/>
  <c r="BA58" i="15" s="1"/>
  <c r="CF57" i="15"/>
  <c r="CF58" i="15" s="1"/>
  <c r="AV57" i="15"/>
  <c r="AN89" i="14"/>
  <c r="AN81" i="14"/>
  <c r="AN73" i="14"/>
  <c r="AN65" i="14"/>
  <c r="AN57" i="14"/>
  <c r="DL89" i="14"/>
  <c r="DK89" i="14"/>
  <c r="DL81" i="14"/>
  <c r="DK81" i="14"/>
  <c r="DL65" i="14"/>
  <c r="DK65" i="14"/>
  <c r="CX40" i="14"/>
  <c r="CW40" i="14"/>
  <c r="CX34" i="14"/>
  <c r="CW34" i="14"/>
  <c r="CX28" i="14"/>
  <c r="CW28" i="14"/>
  <c r="CX22" i="14"/>
  <c r="CW22" i="14"/>
  <c r="AB39" i="14"/>
  <c r="AB27" i="14"/>
  <c r="AN39" i="14"/>
  <c r="AN33" i="14"/>
  <c r="AN27" i="14"/>
  <c r="AN21" i="14"/>
  <c r="AN15" i="14"/>
  <c r="AN38" i="3"/>
  <c r="AO38" i="3" s="1"/>
  <c r="AN36" i="3"/>
  <c r="AO36" i="3" s="1"/>
  <c r="AN34" i="3"/>
  <c r="AO34" i="3" s="1"/>
  <c r="AN32" i="3"/>
  <c r="AO32" i="3" s="1"/>
  <c r="AN30" i="3"/>
  <c r="AO30" i="3" s="1"/>
  <c r="AN28" i="3"/>
  <c r="AO28" i="3" s="1"/>
  <c r="AN26" i="3"/>
  <c r="AO26" i="3" s="1"/>
  <c r="AN24" i="3"/>
  <c r="AO24" i="3" s="1"/>
  <c r="AN22" i="3"/>
  <c r="AO22" i="3" s="1"/>
  <c r="AN20" i="3"/>
  <c r="AO20" i="3" s="1"/>
  <c r="AN18" i="3"/>
  <c r="AO18" i="3" s="1"/>
  <c r="AN16" i="3"/>
  <c r="AO16" i="3" s="1"/>
  <c r="AN14" i="3"/>
  <c r="AO14" i="3" s="1"/>
  <c r="AN12" i="3"/>
  <c r="AO12" i="3" s="1"/>
  <c r="BC24" i="15" l="1"/>
  <c r="BE24" i="15" s="1"/>
  <c r="BC18" i="15"/>
  <c r="BE18" i="15" s="1"/>
  <c r="AY17" i="15"/>
  <c r="BM6" i="15" s="1"/>
  <c r="BN6" i="15" s="1"/>
  <c r="BU36" i="15"/>
  <c r="BV36" i="15" s="1"/>
  <c r="BY83" i="15"/>
  <c r="BZ83" i="15" s="1"/>
  <c r="BY67" i="15"/>
  <c r="BY91" i="15"/>
  <c r="BZ91" i="15" s="1"/>
  <c r="BZ67" i="15"/>
  <c r="BC35" i="15"/>
  <c r="BE35" i="15" s="1"/>
  <c r="BC36" i="15"/>
  <c r="BE36" i="15" s="1"/>
  <c r="FN53" i="3"/>
  <c r="AA52" i="3"/>
  <c r="FM53" i="3"/>
  <c r="FN50" i="3"/>
  <c r="FM50" i="3"/>
  <c r="FM47" i="3"/>
  <c r="FN47" i="3"/>
  <c r="AA46" i="3"/>
  <c r="FN44" i="3"/>
  <c r="AA43" i="3"/>
  <c r="FM44" i="3"/>
  <c r="AY26" i="15"/>
  <c r="BA26" i="15"/>
  <c r="BC29" i="15"/>
  <c r="BE29" i="15" s="1"/>
  <c r="BC32" i="15"/>
  <c r="BA32" i="15"/>
  <c r="AY32" i="15"/>
  <c r="AY30" i="15"/>
  <c r="BC30" i="15" s="1"/>
  <c r="BE30" i="15" s="1"/>
  <c r="AY44" i="15"/>
  <c r="BA44" i="15"/>
  <c r="AX69" i="15"/>
  <c r="AX70" i="15" s="1"/>
  <c r="AZ69" i="15"/>
  <c r="AZ70" i="15" s="1"/>
  <c r="AX77" i="15"/>
  <c r="AX78" i="15" s="1"/>
  <c r="AZ77" i="15"/>
  <c r="AZ78" i="15" s="1"/>
  <c r="AX85" i="15"/>
  <c r="AX86" i="15" s="1"/>
  <c r="AZ85" i="15"/>
  <c r="AZ86" i="15" s="1"/>
  <c r="AX93" i="15"/>
  <c r="AX94" i="15" s="1"/>
  <c r="AZ93" i="15"/>
  <c r="AZ94" i="15" s="1"/>
  <c r="BL94" i="14"/>
  <c r="BK94" i="14"/>
  <c r="AT93" i="14"/>
  <c r="BV92" i="14"/>
  <c r="AT92" i="14"/>
  <c r="AR92" i="14"/>
  <c r="BB93" i="14" s="1"/>
  <c r="BB94" i="14" s="1"/>
  <c r="BX91" i="14"/>
  <c r="BV91" i="14"/>
  <c r="AW91" i="14"/>
  <c r="AZ90" i="14" s="1"/>
  <c r="AU91" i="14"/>
  <c r="AZ89" i="14" s="1"/>
  <c r="BU90" i="14"/>
  <c r="AW90" i="14"/>
  <c r="AU90" i="14"/>
  <c r="BA90" i="14" s="1"/>
  <c r="CF89" i="14"/>
  <c r="CF90" i="14" s="1"/>
  <c r="BA89" i="14"/>
  <c r="AV89" i="14"/>
  <c r="BL86" i="14"/>
  <c r="BK86" i="14"/>
  <c r="AT85" i="14"/>
  <c r="BV84" i="14"/>
  <c r="AT84" i="14"/>
  <c r="AR84" i="14"/>
  <c r="BB85" i="14" s="1"/>
  <c r="BB86" i="14" s="1"/>
  <c r="BX83" i="14"/>
  <c r="BV83" i="14"/>
  <c r="AW83" i="14"/>
  <c r="AZ82" i="14" s="1"/>
  <c r="AU83" i="14"/>
  <c r="AZ81" i="14" s="1"/>
  <c r="BU82" i="14"/>
  <c r="AW82" i="14"/>
  <c r="BA81" i="14" s="1"/>
  <c r="AU82" i="14"/>
  <c r="BA82" i="14" s="1"/>
  <c r="CF81" i="14"/>
  <c r="CF82" i="14" s="1"/>
  <c r="AV81" i="14"/>
  <c r="BL78" i="14"/>
  <c r="BK78" i="14"/>
  <c r="AT77" i="14"/>
  <c r="BV76" i="14"/>
  <c r="BY75" i="14" s="1"/>
  <c r="AR76" i="14"/>
  <c r="BZ75" i="14"/>
  <c r="BX75" i="14"/>
  <c r="BV75" i="14"/>
  <c r="AW75" i="14"/>
  <c r="AZ74" i="14" s="1"/>
  <c r="AU75" i="14"/>
  <c r="AZ73" i="14" s="1"/>
  <c r="BU74" i="14"/>
  <c r="AW74" i="14"/>
  <c r="BA73" i="14" s="1"/>
  <c r="AU74" i="14"/>
  <c r="BA74" i="14" s="1"/>
  <c r="CF73" i="14"/>
  <c r="CF74" i="14" s="1"/>
  <c r="AV73" i="14"/>
  <c r="BL70" i="14"/>
  <c r="BK70" i="14"/>
  <c r="AT69" i="14"/>
  <c r="BV68" i="14"/>
  <c r="AT68" i="14"/>
  <c r="AR68" i="14"/>
  <c r="BB69" i="14" s="1"/>
  <c r="BB70" i="14" s="1"/>
  <c r="BX67" i="14"/>
  <c r="BV67" i="14"/>
  <c r="AW67" i="14"/>
  <c r="AZ66" i="14" s="1"/>
  <c r="AU67" i="14"/>
  <c r="AZ65" i="14" s="1"/>
  <c r="BU66" i="14"/>
  <c r="AW66" i="14"/>
  <c r="AU66" i="14"/>
  <c r="BA66" i="14" s="1"/>
  <c r="CF65" i="14"/>
  <c r="CF66" i="14" s="1"/>
  <c r="BA65" i="14"/>
  <c r="AV65" i="14"/>
  <c r="BL62" i="14"/>
  <c r="BK62" i="14"/>
  <c r="AT61" i="14"/>
  <c r="BV60" i="14"/>
  <c r="BY59" i="14" s="1"/>
  <c r="BZ59" i="14" s="1"/>
  <c r="AR60" i="14"/>
  <c r="BX59" i="14"/>
  <c r="BV59" i="14"/>
  <c r="AW59" i="14"/>
  <c r="AU59" i="14"/>
  <c r="AZ57" i="14" s="1"/>
  <c r="AZ58" i="14"/>
  <c r="AW58" i="14"/>
  <c r="AU58" i="14"/>
  <c r="BA58" i="14" s="1"/>
  <c r="CF57" i="14"/>
  <c r="CF58" i="14" s="1"/>
  <c r="BA57" i="14"/>
  <c r="AV57" i="14"/>
  <c r="BZ67" i="14" l="1"/>
  <c r="BY67" i="14"/>
  <c r="BY91" i="14"/>
  <c r="BZ91" i="14" s="1"/>
  <c r="BC17" i="15"/>
  <c r="BE17" i="15" s="1"/>
  <c r="BJ9" i="15"/>
  <c r="BY83" i="14"/>
  <c r="BZ83" i="14" s="1"/>
  <c r="CZ53" i="3"/>
  <c r="FU54" i="3"/>
  <c r="FM54" i="3"/>
  <c r="FP53" i="3"/>
  <c r="FO53" i="3"/>
  <c r="FN54" i="3"/>
  <c r="FQ53" i="3"/>
  <c r="FV54" i="3"/>
  <c r="CN52" i="3"/>
  <c r="AN52" i="3" s="1"/>
  <c r="AO52" i="3" s="1"/>
  <c r="CZ50" i="3"/>
  <c r="FU51" i="3"/>
  <c r="FM51" i="3"/>
  <c r="FP50" i="3"/>
  <c r="FO50" i="3"/>
  <c r="FN51" i="3"/>
  <c r="FQ50" i="3"/>
  <c r="FV51" i="3"/>
  <c r="CN49" i="3"/>
  <c r="AN49" i="3" s="1"/>
  <c r="AO49" i="3" s="1"/>
  <c r="FN48" i="3"/>
  <c r="FQ47" i="3"/>
  <c r="CN46" i="3"/>
  <c r="AN46" i="3" s="1"/>
  <c r="AO46" i="3" s="1"/>
  <c r="FU48" i="3"/>
  <c r="FM48" i="3"/>
  <c r="FP47" i="3"/>
  <c r="FO47" i="3"/>
  <c r="CZ47" i="3"/>
  <c r="CZ44" i="3"/>
  <c r="FU45" i="3"/>
  <c r="FM45" i="3"/>
  <c r="FP44" i="3"/>
  <c r="FO44" i="3"/>
  <c r="FN45" i="3"/>
  <c r="FQ44" i="3"/>
  <c r="CN43" i="3"/>
  <c r="AN43" i="3" s="1"/>
  <c r="AO43" i="3" s="1"/>
  <c r="AX69" i="14"/>
  <c r="AX70" i="14" s="1"/>
  <c r="AZ69" i="14"/>
  <c r="AZ70" i="14" s="1"/>
  <c r="AX85" i="14"/>
  <c r="AX86" i="14" s="1"/>
  <c r="AZ85" i="14"/>
  <c r="AZ86" i="14" s="1"/>
  <c r="AX93" i="14"/>
  <c r="AX94" i="14" s="1"/>
  <c r="AZ93" i="14"/>
  <c r="AZ94" i="14" s="1"/>
  <c r="AQ44" i="14"/>
  <c r="BR43" i="14"/>
  <c r="BN43" i="14"/>
  <c r="BM43" i="14"/>
  <c r="AU44" i="14" s="1"/>
  <c r="BL43" i="14"/>
  <c r="AS43" i="14"/>
  <c r="AQ43" i="14"/>
  <c r="BA41" i="14" s="1"/>
  <c r="BT42" i="14"/>
  <c r="BR42" i="14"/>
  <c r="AW42" i="14"/>
  <c r="AY42" i="14" s="1"/>
  <c r="AU42" i="14"/>
  <c r="BC44" i="14" s="1"/>
  <c r="AQ42" i="14"/>
  <c r="AW41" i="14"/>
  <c r="AY41" i="14" s="1"/>
  <c r="AU41" i="14"/>
  <c r="AT41" i="14"/>
  <c r="CB40" i="14"/>
  <c r="CB41" i="14" s="1"/>
  <c r="BR40" i="14"/>
  <c r="AU40" i="14"/>
  <c r="AT40" i="14"/>
  <c r="AP40" i="14"/>
  <c r="AP39" i="14"/>
  <c r="AQ38" i="14"/>
  <c r="BR37" i="14"/>
  <c r="BN37" i="14"/>
  <c r="BM37" i="14"/>
  <c r="AU38" i="14" s="1"/>
  <c r="BL37" i="14"/>
  <c r="AS37" i="14"/>
  <c r="AQ37" i="14"/>
  <c r="BA35" i="14" s="1"/>
  <c r="BT36" i="14"/>
  <c r="BR36" i="14"/>
  <c r="AW36" i="14"/>
  <c r="AY36" i="14" s="1"/>
  <c r="AU36" i="14"/>
  <c r="AQ36" i="14"/>
  <c r="AW35" i="14"/>
  <c r="AY35" i="14" s="1"/>
  <c r="AU35" i="14"/>
  <c r="AT35" i="14"/>
  <c r="CB34" i="14"/>
  <c r="CB35" i="14" s="1"/>
  <c r="BR34" i="14"/>
  <c r="AU34" i="14"/>
  <c r="AT34" i="14"/>
  <c r="AP34" i="14"/>
  <c r="AP33" i="14"/>
  <c r="AQ32" i="14"/>
  <c r="BR31" i="14"/>
  <c r="BN31" i="14"/>
  <c r="BM31" i="14"/>
  <c r="AU32" i="14" s="1"/>
  <c r="BL31" i="14"/>
  <c r="AS31" i="14"/>
  <c r="AQ31" i="14"/>
  <c r="BA29" i="14" s="1"/>
  <c r="BU30" i="14"/>
  <c r="BV30" i="14" s="1"/>
  <c r="BT30" i="14"/>
  <c r="BR30" i="14"/>
  <c r="AW30" i="14"/>
  <c r="AY30" i="14" s="1"/>
  <c r="AU30" i="14"/>
  <c r="AQ30" i="14"/>
  <c r="AW29" i="14"/>
  <c r="AY29" i="14" s="1"/>
  <c r="AU29" i="14"/>
  <c r="AT29" i="14"/>
  <c r="CB28" i="14"/>
  <c r="CB29" i="14" s="1"/>
  <c r="BR28" i="14"/>
  <c r="AU28" i="14"/>
  <c r="AT28" i="14"/>
  <c r="AP28" i="14"/>
  <c r="AP27" i="14"/>
  <c r="AQ26" i="14"/>
  <c r="BR25" i="14"/>
  <c r="BN25" i="14"/>
  <c r="BM25" i="14"/>
  <c r="AU26" i="14" s="1"/>
  <c r="BL25" i="14"/>
  <c r="AS25" i="14"/>
  <c r="AQ25" i="14"/>
  <c r="BA23" i="14" s="1"/>
  <c r="BT24" i="14"/>
  <c r="BR24" i="14"/>
  <c r="AW24" i="14"/>
  <c r="AY24" i="14" s="1"/>
  <c r="AU24" i="14"/>
  <c r="BC26" i="14" s="1"/>
  <c r="AQ24" i="14"/>
  <c r="AW23" i="14"/>
  <c r="AY23" i="14" s="1"/>
  <c r="AU23" i="14"/>
  <c r="AT23" i="14"/>
  <c r="CB22" i="14"/>
  <c r="CB23" i="14" s="1"/>
  <c r="BR22" i="14"/>
  <c r="AU22" i="14"/>
  <c r="AT22" i="14"/>
  <c r="AP22" i="14"/>
  <c r="AP21" i="14"/>
  <c r="AQ20" i="14"/>
  <c r="BR19" i="14"/>
  <c r="BN19" i="14"/>
  <c r="BM19" i="14"/>
  <c r="AU20" i="14" s="1"/>
  <c r="BL19" i="14"/>
  <c r="AQ19" i="14"/>
  <c r="BT18" i="14"/>
  <c r="BR18" i="14"/>
  <c r="AY18" i="14"/>
  <c r="AW18" i="14"/>
  <c r="AU18" i="14"/>
  <c r="AQ18" i="14"/>
  <c r="BA17" i="14"/>
  <c r="AW17" i="14"/>
  <c r="AY17" i="14" s="1"/>
  <c r="AT17" i="14"/>
  <c r="CB16" i="14"/>
  <c r="CB17" i="14" s="1"/>
  <c r="BR16" i="14"/>
  <c r="AU16" i="14"/>
  <c r="AT16" i="14"/>
  <c r="AP16" i="14"/>
  <c r="AP15" i="14"/>
  <c r="J91" i="15"/>
  <c r="J83" i="15"/>
  <c r="J75" i="15"/>
  <c r="J67" i="15"/>
  <c r="J59" i="15"/>
  <c r="BC36" i="14" l="1"/>
  <c r="BE36" i="14" s="1"/>
  <c r="BC17" i="14"/>
  <c r="BE17" i="14" s="1"/>
  <c r="BU36" i="14"/>
  <c r="BV36" i="14" s="1"/>
  <c r="BU42" i="14"/>
  <c r="BV42" i="14" s="1"/>
  <c r="BC41" i="14"/>
  <c r="BE41" i="14" s="1"/>
  <c r="BC42" i="14"/>
  <c r="BE42" i="14" s="1"/>
  <c r="BC18" i="14"/>
  <c r="BE18" i="14" s="1"/>
  <c r="BC35" i="14"/>
  <c r="BE35" i="14" s="1"/>
  <c r="FW54" i="3"/>
  <c r="FO54" i="3"/>
  <c r="FR53" i="3"/>
  <c r="FQ54" i="3"/>
  <c r="FP54" i="3"/>
  <c r="FX54" i="3"/>
  <c r="FW51" i="3"/>
  <c r="FO51" i="3"/>
  <c r="FR50" i="3"/>
  <c r="FQ51" i="3"/>
  <c r="FP51" i="3"/>
  <c r="FX51" i="3"/>
  <c r="FP48" i="3"/>
  <c r="FX48" i="3"/>
  <c r="FQ48" i="3"/>
  <c r="FW48" i="3"/>
  <c r="FO48" i="3"/>
  <c r="FR47" i="3"/>
  <c r="FV48" i="3"/>
  <c r="FW45" i="3"/>
  <c r="FO45" i="3"/>
  <c r="FR44" i="3"/>
  <c r="FQ45" i="3"/>
  <c r="FP45" i="3"/>
  <c r="FX45" i="3"/>
  <c r="BC24" i="14"/>
  <c r="BE24" i="14" s="1"/>
  <c r="BC23" i="14"/>
  <c r="BE23" i="14" s="1"/>
  <c r="BU24" i="14"/>
  <c r="BV24" i="14" s="1"/>
  <c r="BC29" i="14"/>
  <c r="BE29" i="14" s="1"/>
  <c r="BC32" i="14"/>
  <c r="BA32" i="14"/>
  <c r="AY32" i="14"/>
  <c r="BC30" i="14"/>
  <c r="BE30" i="14" s="1"/>
  <c r="AY26" i="14"/>
  <c r="BA26" i="14"/>
  <c r="BC38" i="14"/>
  <c r="BA38" i="14"/>
  <c r="AY38" i="14"/>
  <c r="AY44" i="14"/>
  <c r="BA44" i="14"/>
  <c r="K261" i="16"/>
  <c r="K257" i="16"/>
  <c r="G257" i="16"/>
  <c r="D257" i="16"/>
  <c r="C254" i="16"/>
  <c r="D279" i="16"/>
  <c r="M268" i="16"/>
  <c r="L12" i="15"/>
  <c r="L54" i="15" s="1"/>
  <c r="H12" i="15"/>
  <c r="H54" i="15" s="1"/>
  <c r="J10" i="15"/>
  <c r="J52" i="15" s="1"/>
  <c r="M39" i="14"/>
  <c r="M33" i="14"/>
  <c r="M27" i="14"/>
  <c r="M21" i="14"/>
  <c r="N89" i="15"/>
  <c r="N81" i="15"/>
  <c r="O73" i="15"/>
  <c r="BU73" i="15" s="1"/>
  <c r="N73" i="15"/>
  <c r="N65" i="15"/>
  <c r="AK39" i="15"/>
  <c r="AJ39" i="15"/>
  <c r="AJ33" i="15"/>
  <c r="AK27" i="15"/>
  <c r="AJ27" i="15"/>
  <c r="AK21" i="15"/>
  <c r="AJ21" i="15"/>
  <c r="N39" i="15"/>
  <c r="BR39" i="15" s="1"/>
  <c r="N27" i="15"/>
  <c r="BR27" i="15" s="1"/>
  <c r="N21" i="15"/>
  <c r="BR21" i="15" s="1"/>
  <c r="M39" i="15"/>
  <c r="M33" i="15"/>
  <c r="M27" i="15"/>
  <c r="M21" i="15"/>
  <c r="O89" i="14"/>
  <c r="BU89" i="14" s="1"/>
  <c r="N89" i="14"/>
  <c r="N81" i="14"/>
  <c r="N73" i="14"/>
  <c r="N65" i="14"/>
  <c r="J52" i="14"/>
  <c r="L54" i="14"/>
  <c r="H54" i="14"/>
  <c r="J10" i="14"/>
  <c r="L12" i="14"/>
  <c r="H12" i="14"/>
  <c r="FY54" i="3" l="1"/>
  <c r="FR54" i="3"/>
  <c r="FZ54" i="3"/>
  <c r="FY51" i="3"/>
  <c r="FR51" i="3"/>
  <c r="FZ51" i="3"/>
  <c r="FY48" i="3"/>
  <c r="FR48" i="3"/>
  <c r="FZ48" i="3"/>
  <c r="FY45" i="3"/>
  <c r="FR45" i="3"/>
  <c r="FZ45" i="3"/>
  <c r="AA27" i="15"/>
  <c r="BO31" i="15"/>
  <c r="BN30" i="15"/>
  <c r="BL30" i="15"/>
  <c r="BS28" i="15"/>
  <c r="BS29" i="15" s="1"/>
  <c r="BO30" i="15"/>
  <c r="BM30" i="15"/>
  <c r="AU31" i="15" s="1"/>
  <c r="AS30" i="15"/>
  <c r="BT28" i="15"/>
  <c r="BT29" i="15" s="1"/>
  <c r="Z39" i="15"/>
  <c r="BN42" i="15"/>
  <c r="BL42" i="15"/>
  <c r="BS40" i="15"/>
  <c r="BS41" i="15" s="1"/>
  <c r="BO43" i="15"/>
  <c r="BO42" i="15"/>
  <c r="BM42" i="15"/>
  <c r="AU43" i="15" s="1"/>
  <c r="AS42" i="15"/>
  <c r="BT40" i="15"/>
  <c r="BT41" i="15" s="1"/>
  <c r="Z21" i="15"/>
  <c r="BN24" i="15"/>
  <c r="BL24" i="15"/>
  <c r="BS22" i="15"/>
  <c r="BS23" i="15" s="1"/>
  <c r="BO25" i="15"/>
  <c r="BO24" i="15"/>
  <c r="BM24" i="15"/>
  <c r="AU25" i="15" s="1"/>
  <c r="AS24" i="15"/>
  <c r="BT22" i="15"/>
  <c r="BT23" i="15" s="1"/>
  <c r="BL77" i="15"/>
  <c r="BK77" i="15"/>
  <c r="BK93" i="14"/>
  <c r="BL93" i="14"/>
  <c r="AB73" i="15"/>
  <c r="AB89" i="14"/>
  <c r="X89" i="14"/>
  <c r="AA89" i="14"/>
  <c r="Y89" i="14"/>
  <c r="X21" i="15"/>
  <c r="AA21" i="15"/>
  <c r="X73" i="15"/>
  <c r="AA73" i="15"/>
  <c r="Y73" i="15"/>
  <c r="W21" i="15"/>
  <c r="W27" i="15"/>
  <c r="Z27" i="15"/>
  <c r="X27" i="15"/>
  <c r="X39" i="15"/>
  <c r="AA39" i="15"/>
  <c r="W39" i="15"/>
  <c r="Z2" i="1" l="1"/>
  <c r="P2" i="1"/>
  <c r="D309" i="1" s="1"/>
  <c r="O6" i="1" l="1"/>
  <c r="T274" i="1"/>
  <c r="T22" i="1" s="1"/>
  <c r="R274" i="1"/>
  <c r="R22" i="1" s="1"/>
  <c r="U273" i="1"/>
  <c r="U21" i="1" s="1"/>
  <c r="S273" i="1"/>
  <c r="S21" i="1" s="1"/>
  <c r="Q273" i="1"/>
  <c r="Q21" i="1" s="1"/>
  <c r="T272" i="1"/>
  <c r="T20" i="1" s="1"/>
  <c r="R272" i="1"/>
  <c r="R20" i="1" s="1"/>
  <c r="U271" i="1"/>
  <c r="U19" i="1" s="1"/>
  <c r="S271" i="1"/>
  <c r="S19" i="1" s="1"/>
  <c r="Q271" i="1"/>
  <c r="Q19" i="1" s="1"/>
  <c r="T270" i="1"/>
  <c r="T18" i="1" s="1"/>
  <c r="R270" i="1"/>
  <c r="R18" i="1" s="1"/>
  <c r="U269" i="1"/>
  <c r="U17" i="1" s="1"/>
  <c r="S269" i="1"/>
  <c r="S17" i="1" s="1"/>
  <c r="Q269" i="1"/>
  <c r="Q17" i="1" s="1"/>
  <c r="T268" i="1"/>
  <c r="T16" i="1" s="1"/>
  <c r="R268" i="1"/>
  <c r="R16" i="1" s="1"/>
  <c r="U267" i="1"/>
  <c r="U15" i="1" s="1"/>
  <c r="S267" i="1"/>
  <c r="S15" i="1" s="1"/>
  <c r="Q267" i="1"/>
  <c r="Q15" i="1" s="1"/>
  <c r="T266" i="1"/>
  <c r="T14" i="1" s="1"/>
  <c r="R266" i="1"/>
  <c r="R14" i="1" s="1"/>
  <c r="U265" i="1"/>
  <c r="U13" i="1" s="1"/>
  <c r="S265" i="1"/>
  <c r="S13" i="1" s="1"/>
  <c r="Q265" i="1"/>
  <c r="Q13" i="1" s="1"/>
  <c r="T264" i="1"/>
  <c r="T12" i="1" s="1"/>
  <c r="R264" i="1"/>
  <c r="R12" i="1" s="1"/>
  <c r="U263" i="1"/>
  <c r="U11" i="1" s="1"/>
  <c r="S263" i="1"/>
  <c r="S11" i="1" s="1"/>
  <c r="Q263" i="1"/>
  <c r="Q11" i="1" s="1"/>
  <c r="U274" i="1"/>
  <c r="U22" i="1" s="1"/>
  <c r="S274" i="1"/>
  <c r="S22" i="1" s="1"/>
  <c r="Q274" i="1"/>
  <c r="Q22" i="1" s="1"/>
  <c r="T273" i="1"/>
  <c r="T21" i="1" s="1"/>
  <c r="R273" i="1"/>
  <c r="R21" i="1" s="1"/>
  <c r="U272" i="1"/>
  <c r="U20" i="1" s="1"/>
  <c r="S272" i="1"/>
  <c r="S20" i="1" s="1"/>
  <c r="Q272" i="1"/>
  <c r="Q20" i="1" s="1"/>
  <c r="T271" i="1"/>
  <c r="T19" i="1" s="1"/>
  <c r="R271" i="1"/>
  <c r="R19" i="1" s="1"/>
  <c r="U270" i="1"/>
  <c r="U18" i="1" s="1"/>
  <c r="S270" i="1"/>
  <c r="S18" i="1" s="1"/>
  <c r="Q270" i="1"/>
  <c r="Q18" i="1" s="1"/>
  <c r="T269" i="1"/>
  <c r="T17" i="1" s="1"/>
  <c r="R269" i="1"/>
  <c r="R17" i="1" s="1"/>
  <c r="U268" i="1"/>
  <c r="U16" i="1" s="1"/>
  <c r="S268" i="1"/>
  <c r="S16" i="1" s="1"/>
  <c r="Q268" i="1"/>
  <c r="Q16" i="1" s="1"/>
  <c r="T267" i="1"/>
  <c r="T15" i="1" s="1"/>
  <c r="R267" i="1"/>
  <c r="R15" i="1" s="1"/>
  <c r="U266" i="1"/>
  <c r="U14" i="1" s="1"/>
  <c r="S266" i="1"/>
  <c r="S14" i="1" s="1"/>
  <c r="Q266" i="1"/>
  <c r="Q14" i="1" s="1"/>
  <c r="T265" i="1"/>
  <c r="T13" i="1" s="1"/>
  <c r="R265" i="1"/>
  <c r="R13" i="1" s="1"/>
  <c r="U264" i="1"/>
  <c r="U12" i="1" s="1"/>
  <c r="S264" i="1"/>
  <c r="S12" i="1" s="1"/>
  <c r="Q264" i="1"/>
  <c r="Q12" i="1" s="1"/>
  <c r="T263" i="1"/>
  <c r="T11" i="1" s="1"/>
  <c r="R263" i="1"/>
  <c r="R11" i="1" s="1"/>
  <c r="U262" i="1"/>
  <c r="U10" i="1" s="1"/>
  <c r="S262" i="1"/>
  <c r="S10" i="1" s="1"/>
  <c r="Q262" i="1"/>
  <c r="Q10" i="1" s="1"/>
  <c r="T261" i="1"/>
  <c r="T9" i="1" s="1"/>
  <c r="R261" i="1"/>
  <c r="R9" i="1" s="1"/>
  <c r="U260" i="1"/>
  <c r="U8" i="1" s="1"/>
  <c r="S260" i="1"/>
  <c r="S8" i="1" s="1"/>
  <c r="Q260" i="1"/>
  <c r="Q8" i="1" s="1"/>
  <c r="T259" i="1"/>
  <c r="T7" i="1" s="1"/>
  <c r="R259" i="1"/>
  <c r="R7" i="1" s="1"/>
  <c r="U258" i="1"/>
  <c r="U6" i="1" s="1"/>
  <c r="S258" i="1"/>
  <c r="S6" i="1" s="1"/>
  <c r="Q258" i="1"/>
  <c r="Q6" i="1" s="1"/>
  <c r="P273" i="1"/>
  <c r="P21" i="1" s="1"/>
  <c r="O21" i="1" s="1"/>
  <c r="P271" i="1"/>
  <c r="P19" i="1" s="1"/>
  <c r="P269" i="1"/>
  <c r="P17" i="1" s="1"/>
  <c r="O17" i="1" s="1"/>
  <c r="P267" i="1"/>
  <c r="P15" i="1" s="1"/>
  <c r="P265" i="1"/>
  <c r="P13" i="1" s="1"/>
  <c r="O13" i="1" s="1"/>
  <c r="P263" i="1"/>
  <c r="P11" i="1" s="1"/>
  <c r="P261" i="1"/>
  <c r="P9" i="1" s="1"/>
  <c r="O9" i="1" s="1"/>
  <c r="P259" i="1"/>
  <c r="P7" i="1" s="1"/>
  <c r="P258" i="1"/>
  <c r="P6" i="1" s="1"/>
  <c r="T262" i="1"/>
  <c r="T10" i="1" s="1"/>
  <c r="R262" i="1"/>
  <c r="R10" i="1" s="1"/>
  <c r="U261" i="1"/>
  <c r="U9" i="1" s="1"/>
  <c r="S261" i="1"/>
  <c r="S9" i="1" s="1"/>
  <c r="Q261" i="1"/>
  <c r="Q9" i="1" s="1"/>
  <c r="T260" i="1"/>
  <c r="T8" i="1" s="1"/>
  <c r="R260" i="1"/>
  <c r="R8" i="1" s="1"/>
  <c r="U259" i="1"/>
  <c r="U7" i="1" s="1"/>
  <c r="S259" i="1"/>
  <c r="S7" i="1" s="1"/>
  <c r="Q259" i="1"/>
  <c r="Q7" i="1" s="1"/>
  <c r="T258" i="1"/>
  <c r="T6" i="1" s="1"/>
  <c r="R258" i="1"/>
  <c r="R6" i="1" s="1"/>
  <c r="P274" i="1"/>
  <c r="P22" i="1" s="1"/>
  <c r="P272" i="1"/>
  <c r="P20" i="1" s="1"/>
  <c r="P270" i="1"/>
  <c r="P18" i="1" s="1"/>
  <c r="P268" i="1"/>
  <c r="P16" i="1" s="1"/>
  <c r="O16" i="1" s="1"/>
  <c r="P266" i="1"/>
  <c r="P14" i="1" s="1"/>
  <c r="P264" i="1"/>
  <c r="P12" i="1" s="1"/>
  <c r="O12" i="1" s="1"/>
  <c r="P262" i="1"/>
  <c r="P10" i="1" s="1"/>
  <c r="P260" i="1"/>
  <c r="P8" i="1" s="1"/>
  <c r="N9" i="1" s="1"/>
  <c r="N6" i="1"/>
  <c r="N8" i="1"/>
  <c r="N19" i="1"/>
  <c r="N15" i="1"/>
  <c r="N11" i="1"/>
  <c r="O22" i="1"/>
  <c r="O19" i="1"/>
  <c r="O15" i="1"/>
  <c r="O11" i="1"/>
  <c r="O7" i="1"/>
  <c r="O18" i="1"/>
  <c r="O10" i="1"/>
  <c r="N13" i="1"/>
  <c r="E309" i="1"/>
  <c r="Y6" i="1" s="1"/>
  <c r="G74" i="16"/>
  <c r="I74" i="16"/>
  <c r="J648" i="16"/>
  <c r="J649" i="16" s="1"/>
  <c r="J650" i="16" s="1"/>
  <c r="J651" i="16" s="1"/>
  <c r="J652" i="16" s="1"/>
  <c r="J653" i="16" s="1"/>
  <c r="O684" i="3"/>
  <c r="O685" i="3" s="1"/>
  <c r="O686" i="3" s="1"/>
  <c r="O687" i="3" s="1"/>
  <c r="O688" i="3" s="1"/>
  <c r="O689" i="3" s="1"/>
  <c r="N21" i="1" l="1"/>
  <c r="O14" i="1"/>
  <c r="N17" i="1"/>
  <c r="O20" i="1"/>
  <c r="N7" i="1"/>
  <c r="N16" i="1"/>
  <c r="N12" i="1"/>
  <c r="N20" i="1"/>
  <c r="N10" i="1"/>
  <c r="N14" i="1"/>
  <c r="N18" i="1"/>
  <c r="N22" i="1"/>
  <c r="AD274" i="1"/>
  <c r="AD22" i="1" s="1"/>
  <c r="AB274" i="1"/>
  <c r="AB22" i="1" s="1"/>
  <c r="AE273" i="1"/>
  <c r="AE21" i="1" s="1"/>
  <c r="AC273" i="1"/>
  <c r="AC21" i="1" s="1"/>
  <c r="AA273" i="1"/>
  <c r="AA21" i="1" s="1"/>
  <c r="AD272" i="1"/>
  <c r="AD20" i="1" s="1"/>
  <c r="AB272" i="1"/>
  <c r="AB20" i="1" s="1"/>
  <c r="AE271" i="1"/>
  <c r="AE19" i="1" s="1"/>
  <c r="AC271" i="1"/>
  <c r="AC19" i="1" s="1"/>
  <c r="AA271" i="1"/>
  <c r="AA19" i="1" s="1"/>
  <c r="AD270" i="1"/>
  <c r="AD18" i="1" s="1"/>
  <c r="AB270" i="1"/>
  <c r="AB18" i="1" s="1"/>
  <c r="AE269" i="1"/>
  <c r="AE17" i="1" s="1"/>
  <c r="AC269" i="1"/>
  <c r="AC17" i="1" s="1"/>
  <c r="AA269" i="1"/>
  <c r="AA17" i="1" s="1"/>
  <c r="AD268" i="1"/>
  <c r="AD16" i="1" s="1"/>
  <c r="AB268" i="1"/>
  <c r="AB16" i="1" s="1"/>
  <c r="AE267" i="1"/>
  <c r="AE15" i="1" s="1"/>
  <c r="AC267" i="1"/>
  <c r="AC15" i="1" s="1"/>
  <c r="AA267" i="1"/>
  <c r="AA15" i="1" s="1"/>
  <c r="AD266" i="1"/>
  <c r="AD14" i="1" s="1"/>
  <c r="AB266" i="1"/>
  <c r="AB14" i="1" s="1"/>
  <c r="AE265" i="1"/>
  <c r="AE13" i="1" s="1"/>
  <c r="AC265" i="1"/>
  <c r="AC13" i="1" s="1"/>
  <c r="AA265" i="1"/>
  <c r="AA13" i="1" s="1"/>
  <c r="AD264" i="1"/>
  <c r="AD12" i="1" s="1"/>
  <c r="AB264" i="1"/>
  <c r="AB12" i="1" s="1"/>
  <c r="AE263" i="1"/>
  <c r="AE11" i="1" s="1"/>
  <c r="AC263" i="1"/>
  <c r="AC11" i="1" s="1"/>
  <c r="AA263" i="1"/>
  <c r="AA11" i="1" s="1"/>
  <c r="AD262" i="1"/>
  <c r="AD10" i="1" s="1"/>
  <c r="AB262" i="1"/>
  <c r="AB10" i="1" s="1"/>
  <c r="AE261" i="1"/>
  <c r="AE9" i="1" s="1"/>
  <c r="AC261" i="1"/>
  <c r="AC9" i="1" s="1"/>
  <c r="AA261" i="1"/>
  <c r="AA9" i="1" s="1"/>
  <c r="AD260" i="1"/>
  <c r="AD8" i="1" s="1"/>
  <c r="AB260" i="1"/>
  <c r="AB8" i="1" s="1"/>
  <c r="AE259" i="1"/>
  <c r="AE7" i="1" s="1"/>
  <c r="AC259" i="1"/>
  <c r="AC7" i="1" s="1"/>
  <c r="AA259" i="1"/>
  <c r="AA7" i="1" s="1"/>
  <c r="AD258" i="1"/>
  <c r="AD6" i="1" s="1"/>
  <c r="AB258" i="1"/>
  <c r="AB6" i="1" s="1"/>
  <c r="Z274" i="1"/>
  <c r="Z22" i="1" s="1"/>
  <c r="Z272" i="1"/>
  <c r="Z20" i="1" s="1"/>
  <c r="Z270" i="1"/>
  <c r="Z18" i="1" s="1"/>
  <c r="Z268" i="1"/>
  <c r="Z16" i="1" s="1"/>
  <c r="Z266" i="1"/>
  <c r="Z14" i="1" s="1"/>
  <c r="Z264" i="1"/>
  <c r="Z12" i="1" s="1"/>
  <c r="Z262" i="1"/>
  <c r="Z10" i="1" s="1"/>
  <c r="Z260" i="1"/>
  <c r="Z8" i="1" s="1"/>
  <c r="Z258" i="1"/>
  <c r="Z6" i="1" s="1"/>
  <c r="AE274" i="1"/>
  <c r="AE22" i="1" s="1"/>
  <c r="AC274" i="1"/>
  <c r="AC22" i="1" s="1"/>
  <c r="AA274" i="1"/>
  <c r="AA22" i="1" s="1"/>
  <c r="AD273" i="1"/>
  <c r="AD21" i="1" s="1"/>
  <c r="AB273" i="1"/>
  <c r="AB21" i="1" s="1"/>
  <c r="AE272" i="1"/>
  <c r="AE20" i="1" s="1"/>
  <c r="AC272" i="1"/>
  <c r="AC20" i="1" s="1"/>
  <c r="AA272" i="1"/>
  <c r="AA20" i="1" s="1"/>
  <c r="AD271" i="1"/>
  <c r="AD19" i="1" s="1"/>
  <c r="AB271" i="1"/>
  <c r="AB19" i="1" s="1"/>
  <c r="AE270" i="1"/>
  <c r="AE18" i="1" s="1"/>
  <c r="AC270" i="1"/>
  <c r="AC18" i="1" s="1"/>
  <c r="AA270" i="1"/>
  <c r="AA18" i="1" s="1"/>
  <c r="AD269" i="1"/>
  <c r="AD17" i="1" s="1"/>
  <c r="AB269" i="1"/>
  <c r="AB17" i="1" s="1"/>
  <c r="AE268" i="1"/>
  <c r="AE16" i="1" s="1"/>
  <c r="AC268" i="1"/>
  <c r="AC16" i="1" s="1"/>
  <c r="AA268" i="1"/>
  <c r="AA16" i="1" s="1"/>
  <c r="AD267" i="1"/>
  <c r="AD15" i="1" s="1"/>
  <c r="AB267" i="1"/>
  <c r="AB15" i="1" s="1"/>
  <c r="AE266" i="1"/>
  <c r="AE14" i="1" s="1"/>
  <c r="AC266" i="1"/>
  <c r="AC14" i="1" s="1"/>
  <c r="AA266" i="1"/>
  <c r="AA14" i="1" s="1"/>
  <c r="AD265" i="1"/>
  <c r="AD13" i="1" s="1"/>
  <c r="AB265" i="1"/>
  <c r="AB13" i="1" s="1"/>
  <c r="AE264" i="1"/>
  <c r="AE12" i="1" s="1"/>
  <c r="AC264" i="1"/>
  <c r="AC12" i="1" s="1"/>
  <c r="AA264" i="1"/>
  <c r="AA12" i="1" s="1"/>
  <c r="AD263" i="1"/>
  <c r="AD11" i="1" s="1"/>
  <c r="AB263" i="1"/>
  <c r="AB11" i="1" s="1"/>
  <c r="AE262" i="1"/>
  <c r="AE10" i="1" s="1"/>
  <c r="AC262" i="1"/>
  <c r="AC10" i="1" s="1"/>
  <c r="AA262" i="1"/>
  <c r="AA10" i="1" s="1"/>
  <c r="AD261" i="1"/>
  <c r="AD9" i="1" s="1"/>
  <c r="AB261" i="1"/>
  <c r="AB9" i="1" s="1"/>
  <c r="AE260" i="1"/>
  <c r="AE8" i="1" s="1"/>
  <c r="AC260" i="1"/>
  <c r="AC8" i="1" s="1"/>
  <c r="AA260" i="1"/>
  <c r="AA8" i="1" s="1"/>
  <c r="AD259" i="1"/>
  <c r="AD7" i="1" s="1"/>
  <c r="AB259" i="1"/>
  <c r="AB7" i="1" s="1"/>
  <c r="AE258" i="1"/>
  <c r="AE6" i="1" s="1"/>
  <c r="AC258" i="1"/>
  <c r="AC6" i="1" s="1"/>
  <c r="AA258" i="1"/>
  <c r="AA6" i="1" s="1"/>
  <c r="Z273" i="1"/>
  <c r="Z21" i="1" s="1"/>
  <c r="Z271" i="1"/>
  <c r="Z19" i="1" s="1"/>
  <c r="Z269" i="1"/>
  <c r="Z17" i="1" s="1"/>
  <c r="Z267" i="1"/>
  <c r="Z15" i="1" s="1"/>
  <c r="Z265" i="1"/>
  <c r="Z13" i="1" s="1"/>
  <c r="Z263" i="1"/>
  <c r="Z11" i="1" s="1"/>
  <c r="Z261" i="1"/>
  <c r="Z9" i="1" s="1"/>
  <c r="Z259" i="1"/>
  <c r="Z7" i="1" s="1"/>
  <c r="O8" i="1"/>
  <c r="X6" i="1"/>
  <c r="X85" i="14"/>
  <c r="X7" i="1" l="1"/>
  <c r="Y7" i="1"/>
  <c r="X11" i="1"/>
  <c r="Y11" i="1"/>
  <c r="X15" i="1"/>
  <c r="Y15" i="1"/>
  <c r="X19" i="1"/>
  <c r="Y19" i="1"/>
  <c r="X8" i="1"/>
  <c r="Y8" i="1"/>
  <c r="X12" i="1"/>
  <c r="Y12" i="1"/>
  <c r="X16" i="1"/>
  <c r="Y16" i="1"/>
  <c r="X20" i="1"/>
  <c r="Y20" i="1"/>
  <c r="X9" i="1"/>
  <c r="Y9" i="1"/>
  <c r="X13" i="1"/>
  <c r="Y13" i="1"/>
  <c r="X17" i="1"/>
  <c r="Y17" i="1"/>
  <c r="X21" i="1"/>
  <c r="Y21" i="1"/>
  <c r="X10" i="1"/>
  <c r="Y10" i="1"/>
  <c r="X14" i="1"/>
  <c r="Y14" i="1"/>
  <c r="X18" i="1"/>
  <c r="Y18" i="1"/>
  <c r="X22" i="1"/>
  <c r="Y22" i="1"/>
  <c r="AH33" i="15"/>
  <c r="AH27" i="15"/>
  <c r="AH21" i="15"/>
  <c r="AI73" i="15" l="1"/>
  <c r="AJ73" i="15" s="1"/>
  <c r="AH89" i="15"/>
  <c r="AH81" i="15"/>
  <c r="AH73" i="15"/>
  <c r="AH65" i="15"/>
  <c r="AH57" i="15"/>
  <c r="AI33" i="15" l="1"/>
  <c r="AI27" i="15"/>
  <c r="AI21" i="15"/>
  <c r="AG39" i="15"/>
  <c r="AG33" i="15"/>
  <c r="AG27" i="15"/>
  <c r="AG21" i="15"/>
  <c r="AG15" i="15"/>
  <c r="AB27" i="15"/>
  <c r="AB21" i="15"/>
  <c r="Y27" i="15"/>
  <c r="Y21" i="15"/>
  <c r="AH39" i="14"/>
  <c r="AI39" i="14" s="1"/>
  <c r="AH33" i="14"/>
  <c r="AI33" i="14" s="1"/>
  <c r="AH27" i="14"/>
  <c r="AI27" i="14" s="1"/>
  <c r="Y39" i="14"/>
  <c r="Y27" i="14"/>
  <c r="P27" i="15"/>
  <c r="R202" i="15"/>
  <c r="Q202" i="15"/>
  <c r="P202" i="15"/>
  <c r="O202" i="15"/>
  <c r="N202" i="15"/>
  <c r="M202" i="15"/>
  <c r="L202" i="15"/>
  <c r="K202" i="15"/>
  <c r="J202" i="15"/>
  <c r="I202" i="15"/>
  <c r="AI73" i="14"/>
  <c r="AJ73" i="14" s="1"/>
  <c r="AQ10" i="15"/>
  <c r="AP10" i="15"/>
  <c r="AQ11" i="14"/>
  <c r="AP11" i="14"/>
  <c r="CP4" i="3"/>
  <c r="AH89" i="14"/>
  <c r="AH81" i="14"/>
  <c r="AH73" i="14"/>
  <c r="AH65" i="14"/>
  <c r="AH57" i="14"/>
  <c r="M161" i="14"/>
  <c r="M202" i="14" s="1"/>
  <c r="M160" i="14" s="1"/>
  <c r="M177" i="14" s="1"/>
  <c r="L161" i="14"/>
  <c r="K161" i="14"/>
  <c r="J161" i="14"/>
  <c r="J202" i="14" s="1"/>
  <c r="J159" i="14" s="1"/>
  <c r="R161" i="14"/>
  <c r="R202" i="14" s="1"/>
  <c r="R160" i="14" s="1"/>
  <c r="R177" i="14" s="1"/>
  <c r="Q161" i="14"/>
  <c r="P161" i="14"/>
  <c r="O161" i="14"/>
  <c r="O202" i="14" s="1"/>
  <c r="O160" i="14" s="1"/>
  <c r="O177" i="14" s="1"/>
  <c r="N161" i="14"/>
  <c r="N202" i="14" s="1"/>
  <c r="N160" i="14" s="1"/>
  <c r="N177" i="14" s="1"/>
  <c r="AG39" i="14"/>
  <c r="AG33" i="14"/>
  <c r="AG27" i="14"/>
  <c r="AG21" i="14"/>
  <c r="U39" i="14"/>
  <c r="U27" i="14"/>
  <c r="U21" i="14"/>
  <c r="P165" i="14"/>
  <c r="N165" i="14"/>
  <c r="J165" i="14"/>
  <c r="AG15" i="14"/>
  <c r="I161" i="14"/>
  <c r="I202" i="14" s="1"/>
  <c r="I160" i="14" s="1"/>
  <c r="I177" i="14" s="1"/>
  <c r="Q202" i="14"/>
  <c r="Q159" i="14" s="1"/>
  <c r="P202" i="14"/>
  <c r="P160" i="14" s="1"/>
  <c r="P177" i="14" s="1"/>
  <c r="L202" i="14"/>
  <c r="L160" i="14" s="1"/>
  <c r="L177" i="14" s="1"/>
  <c r="K202" i="14"/>
  <c r="K160" i="14" s="1"/>
  <c r="K177" i="14" s="1"/>
  <c r="I160" i="15" l="1"/>
  <c r="I177" i="15" s="1"/>
  <c r="I159" i="15"/>
  <c r="I174" i="15" s="1"/>
  <c r="I175" i="15" s="1"/>
  <c r="I158" i="15"/>
  <c r="I182" i="15" s="1"/>
  <c r="K160" i="15"/>
  <c r="K177" i="15" s="1"/>
  <c r="K159" i="15"/>
  <c r="K158" i="15"/>
  <c r="M160" i="15"/>
  <c r="M177" i="15" s="1"/>
  <c r="M159" i="15"/>
  <c r="M158" i="15"/>
  <c r="O160" i="15"/>
  <c r="O159" i="15"/>
  <c r="O158" i="15"/>
  <c r="Q160" i="15"/>
  <c r="Q177" i="15" s="1"/>
  <c r="Q159" i="15"/>
  <c r="Q158" i="15"/>
  <c r="J160" i="15"/>
  <c r="J177" i="15" s="1"/>
  <c r="J158" i="15"/>
  <c r="J159" i="15"/>
  <c r="L160" i="15"/>
  <c r="L177" i="15" s="1"/>
  <c r="L159" i="15"/>
  <c r="L158" i="15"/>
  <c r="L182" i="15" s="1"/>
  <c r="N160" i="15"/>
  <c r="N177" i="15" s="1"/>
  <c r="N159" i="15"/>
  <c r="N174" i="15" s="1"/>
  <c r="N175" i="15" s="1"/>
  <c r="N158" i="15"/>
  <c r="N182" i="15" s="1"/>
  <c r="P160" i="15"/>
  <c r="P159" i="15"/>
  <c r="P158" i="15"/>
  <c r="R160" i="15"/>
  <c r="R177" i="15" s="1"/>
  <c r="R159" i="15"/>
  <c r="R158" i="15"/>
  <c r="R182" i="15" s="1"/>
  <c r="AR11" i="14"/>
  <c r="AR10" i="15"/>
  <c r="M159" i="14"/>
  <c r="M158" i="14"/>
  <c r="L158" i="14"/>
  <c r="L159" i="14"/>
  <c r="J158" i="14"/>
  <c r="J160" i="14"/>
  <c r="J177" i="14" s="1"/>
  <c r="R158" i="14"/>
  <c r="R159" i="14"/>
  <c r="Q158" i="14"/>
  <c r="Q160" i="14"/>
  <c r="Q177" i="14" s="1"/>
  <c r="O158" i="14"/>
  <c r="O159" i="14"/>
  <c r="N159" i="14"/>
  <c r="N158" i="14"/>
  <c r="R181" i="14"/>
  <c r="R182" i="14" s="1"/>
  <c r="P159" i="14"/>
  <c r="P158" i="14"/>
  <c r="I158" i="14"/>
  <c r="I159" i="14"/>
  <c r="K159" i="14"/>
  <c r="K158" i="14"/>
  <c r="I181" i="14"/>
  <c r="I182" i="14" s="1"/>
  <c r="I168" i="14"/>
  <c r="I174" i="14" s="1"/>
  <c r="K181" i="14"/>
  <c r="K182" i="14" s="1"/>
  <c r="K168" i="14"/>
  <c r="M181" i="14"/>
  <c r="M182" i="14" s="1"/>
  <c r="M168" i="14"/>
  <c r="O181" i="14"/>
  <c r="O182" i="14" s="1"/>
  <c r="O168" i="14"/>
  <c r="O174" i="14" s="1"/>
  <c r="Q181" i="14"/>
  <c r="Q182" i="14" s="1"/>
  <c r="Q168" i="14"/>
  <c r="J181" i="14"/>
  <c r="J182" i="14" s="1"/>
  <c r="J168" i="14"/>
  <c r="L181" i="14"/>
  <c r="L182" i="14" s="1"/>
  <c r="L168" i="14"/>
  <c r="N181" i="14"/>
  <c r="N182" i="14" s="1"/>
  <c r="N168" i="14"/>
  <c r="R168" i="14"/>
  <c r="R174" i="14" s="1"/>
  <c r="CN38" i="3"/>
  <c r="CN36" i="3"/>
  <c r="CN34" i="3"/>
  <c r="CN28" i="3"/>
  <c r="CN26" i="3"/>
  <c r="CN24" i="3"/>
  <c r="CN22" i="3"/>
  <c r="CN18" i="3"/>
  <c r="CN16" i="3"/>
  <c r="CN14" i="3"/>
  <c r="CN12" i="3"/>
  <c r="CO40" i="3"/>
  <c r="CO38" i="3"/>
  <c r="CO36" i="3"/>
  <c r="CO34" i="3"/>
  <c r="CO32" i="3"/>
  <c r="CO30" i="3"/>
  <c r="CO28" i="3"/>
  <c r="CO26" i="3"/>
  <c r="CO24" i="3"/>
  <c r="CO22" i="3"/>
  <c r="CO20" i="3"/>
  <c r="CO18" i="3"/>
  <c r="CO16" i="3"/>
  <c r="CO14" i="3"/>
  <c r="CO12" i="3"/>
  <c r="CO10" i="3"/>
  <c r="CO8" i="3"/>
  <c r="AM40" i="3"/>
  <c r="AM38" i="3"/>
  <c r="AM36" i="3"/>
  <c r="AM34" i="3"/>
  <c r="AM32" i="3"/>
  <c r="AM30" i="3"/>
  <c r="AM28" i="3"/>
  <c r="AM26" i="3"/>
  <c r="AM24" i="3"/>
  <c r="AM22" i="3"/>
  <c r="AM20" i="3"/>
  <c r="AM18" i="3"/>
  <c r="AM16" i="3"/>
  <c r="AM14" i="3"/>
  <c r="AM12" i="3"/>
  <c r="AM10" i="3"/>
  <c r="AM8" i="3"/>
  <c r="N169" i="14" l="1"/>
  <c r="X62" i="14" s="1"/>
  <c r="N170" i="14"/>
  <c r="N171" i="14" s="1"/>
  <c r="N179" i="15"/>
  <c r="N180" i="15" s="1"/>
  <c r="N178" i="15"/>
  <c r="N183" i="15" s="1"/>
  <c r="L174" i="15"/>
  <c r="L175" i="15" s="1"/>
  <c r="L179" i="15" s="1"/>
  <c r="L180" i="15" s="1"/>
  <c r="J179" i="15"/>
  <c r="J180" i="15" s="1"/>
  <c r="J178" i="15"/>
  <c r="J183" i="15" s="1"/>
  <c r="K179" i="15"/>
  <c r="K180" i="15" s="1"/>
  <c r="K178" i="15"/>
  <c r="K183" i="15" s="1"/>
  <c r="M179" i="15"/>
  <c r="M180" i="15" s="1"/>
  <c r="M178" i="15"/>
  <c r="M183" i="15" s="1"/>
  <c r="I179" i="15"/>
  <c r="I180" i="15" s="1"/>
  <c r="I178" i="15"/>
  <c r="I183" i="15" s="1"/>
  <c r="W37" i="15"/>
  <c r="Y85" i="15"/>
  <c r="Y61" i="15"/>
  <c r="W37" i="14"/>
  <c r="X37" i="14" s="1"/>
  <c r="L174" i="14"/>
  <c r="W25" i="14"/>
  <c r="X25" i="14" s="1"/>
  <c r="J174" i="14"/>
  <c r="Y85" i="14"/>
  <c r="Q174" i="14"/>
  <c r="W43" i="14"/>
  <c r="X43" i="14" s="1"/>
  <c r="M174" i="14"/>
  <c r="W31" i="14"/>
  <c r="X31" i="14" s="1"/>
  <c r="K174" i="14"/>
  <c r="W19" i="15"/>
  <c r="X61" i="14"/>
  <c r="Y61" i="14" s="1"/>
  <c r="X93" i="14"/>
  <c r="Y93" i="14" s="1"/>
  <c r="X69" i="14"/>
  <c r="Y69" i="14" s="1"/>
  <c r="W19" i="14"/>
  <c r="X19" i="14" s="1"/>
  <c r="Z85" i="15"/>
  <c r="Z77" i="15"/>
  <c r="Z69" i="15"/>
  <c r="X43" i="15"/>
  <c r="AH39" i="15" s="1"/>
  <c r="X37" i="15"/>
  <c r="X31" i="15"/>
  <c r="X25" i="15"/>
  <c r="X19" i="15"/>
  <c r="L173" i="14"/>
  <c r="L171" i="14"/>
  <c r="L172" i="14"/>
  <c r="M172" i="14"/>
  <c r="M173" i="14"/>
  <c r="M171" i="14"/>
  <c r="N173" i="14"/>
  <c r="N172" i="14"/>
  <c r="I172" i="14"/>
  <c r="I173" i="14"/>
  <c r="I171" i="14"/>
  <c r="I175" i="14" s="1"/>
  <c r="Q172" i="14"/>
  <c r="Q173" i="14"/>
  <c r="Q171" i="14"/>
  <c r="O172" i="14"/>
  <c r="O173" i="14"/>
  <c r="O171" i="14"/>
  <c r="O175" i="14" s="1"/>
  <c r="K172" i="14"/>
  <c r="K173" i="14"/>
  <c r="K171" i="14"/>
  <c r="R173" i="14"/>
  <c r="R171" i="14"/>
  <c r="R172" i="14"/>
  <c r="J173" i="14"/>
  <c r="J171" i="14"/>
  <c r="J172" i="14"/>
  <c r="M175" i="14" l="1"/>
  <c r="M178" i="14" s="1"/>
  <c r="M183" i="14" s="1"/>
  <c r="L175" i="14"/>
  <c r="L179" i="14" s="1"/>
  <c r="L180" i="14" s="1"/>
  <c r="L178" i="15"/>
  <c r="L183" i="15" s="1"/>
  <c r="Z61" i="15"/>
  <c r="N174" i="14"/>
  <c r="N175" i="14" s="1"/>
  <c r="N179" i="14" s="1"/>
  <c r="N180" i="14" s="1"/>
  <c r="K175" i="14"/>
  <c r="K178" i="14" s="1"/>
  <c r="K183" i="14" s="1"/>
  <c r="Q175" i="14"/>
  <c r="Q178" i="14" s="1"/>
  <c r="Q183" i="14" s="1"/>
  <c r="J175" i="14"/>
  <c r="J179" i="14" s="1"/>
  <c r="J180" i="14" s="1"/>
  <c r="R175" i="14"/>
  <c r="R178" i="14" s="1"/>
  <c r="R183" i="14" s="1"/>
  <c r="K179" i="14"/>
  <c r="K180" i="14" s="1"/>
  <c r="Q179" i="14"/>
  <c r="Q180" i="14" s="1"/>
  <c r="L178" i="14"/>
  <c r="L183" i="14" s="1"/>
  <c r="O179" i="14"/>
  <c r="O180" i="14" s="1"/>
  <c r="O178" i="14"/>
  <c r="O183" i="14" s="1"/>
  <c r="M179" i="14"/>
  <c r="M180" i="14" s="1"/>
  <c r="I179" i="14"/>
  <c r="I180" i="14" s="1"/>
  <c r="I178" i="14"/>
  <c r="I183" i="14" s="1"/>
  <c r="AA38" i="3"/>
  <c r="AA36" i="3"/>
  <c r="AA34" i="3"/>
  <c r="AA32" i="3"/>
  <c r="AA28" i="3"/>
  <c r="AA26" i="3"/>
  <c r="AA24" i="3"/>
  <c r="AA22" i="3"/>
  <c r="AA18" i="3"/>
  <c r="AA16" i="3"/>
  <c r="AA14" i="3"/>
  <c r="AA12" i="3"/>
  <c r="Y38" i="3"/>
  <c r="Y36" i="3"/>
  <c r="Y34" i="3"/>
  <c r="Y28" i="3"/>
  <c r="Y26" i="3"/>
  <c r="Y24" i="3"/>
  <c r="Y22" i="3"/>
  <c r="Y18" i="3"/>
  <c r="Y16" i="3"/>
  <c r="Y12" i="3"/>
  <c r="O181" i="15" l="1"/>
  <c r="O182" i="15" s="1"/>
  <c r="O168" i="15"/>
  <c r="O177" i="15"/>
  <c r="P181" i="15"/>
  <c r="P182" i="15" s="1"/>
  <c r="P168" i="15"/>
  <c r="R170" i="15"/>
  <c r="Y93" i="15" s="1"/>
  <c r="Z93" i="15" s="1"/>
  <c r="R169" i="15"/>
  <c r="Y94" i="15" s="1"/>
  <c r="P177" i="15"/>
  <c r="J178" i="14"/>
  <c r="J183" i="14" s="1"/>
  <c r="R179" i="14"/>
  <c r="R180" i="14" s="1"/>
  <c r="N178" i="14"/>
  <c r="N183" i="14" s="1"/>
  <c r="W38" i="3"/>
  <c r="W36" i="3"/>
  <c r="W34" i="3"/>
  <c r="W28" i="3"/>
  <c r="W26" i="3"/>
  <c r="W24" i="3"/>
  <c r="W22" i="3"/>
  <c r="W18" i="3"/>
  <c r="W16" i="3"/>
  <c r="W12" i="3"/>
  <c r="AC176" i="3"/>
  <c r="AC217" i="3" s="1"/>
  <c r="AC174" i="3" s="1"/>
  <c r="AC196" i="3"/>
  <c r="AC197" i="3" s="1"/>
  <c r="AB176" i="3"/>
  <c r="AB217" i="3" s="1"/>
  <c r="AB175" i="3" s="1"/>
  <c r="AA176" i="3"/>
  <c r="AA217" i="3" s="1"/>
  <c r="AA175" i="3" s="1"/>
  <c r="Z176" i="3"/>
  <c r="Z217" i="3" s="1"/>
  <c r="Z175" i="3" s="1"/>
  <c r="Y176" i="3"/>
  <c r="Y217" i="3" s="1"/>
  <c r="Y175" i="3" s="1"/>
  <c r="Y192" i="3" s="1"/>
  <c r="X176" i="3"/>
  <c r="X217" i="3" s="1"/>
  <c r="X175" i="3" s="1"/>
  <c r="W176" i="3"/>
  <c r="W217" i="3" s="1"/>
  <c r="W175" i="3" s="1"/>
  <c r="V176" i="3"/>
  <c r="V217" i="3" s="1"/>
  <c r="V175" i="3" s="1"/>
  <c r="U176" i="3"/>
  <c r="U217" i="3" s="1"/>
  <c r="U175" i="3" s="1"/>
  <c r="T176" i="3"/>
  <c r="T217" i="3" s="1"/>
  <c r="T175" i="3" s="1"/>
  <c r="S176" i="3"/>
  <c r="S217" i="3" s="1"/>
  <c r="S175" i="3" s="1"/>
  <c r="R176" i="3"/>
  <c r="R217" i="3" s="1"/>
  <c r="R175" i="3" s="1"/>
  <c r="Q176" i="3"/>
  <c r="Q217" i="3" s="1"/>
  <c r="Q175" i="3" s="1"/>
  <c r="P176" i="3"/>
  <c r="P217" i="3" s="1"/>
  <c r="P175" i="3" s="1"/>
  <c r="O176" i="3"/>
  <c r="O217" i="3" s="1"/>
  <c r="O175" i="3" s="1"/>
  <c r="N176" i="3"/>
  <c r="N217" i="3" s="1"/>
  <c r="N175" i="3" s="1"/>
  <c r="M176" i="3"/>
  <c r="M217" i="3" s="1"/>
  <c r="M175" i="3" s="1"/>
  <c r="L176" i="3"/>
  <c r="L217" i="3" s="1"/>
  <c r="L175" i="3" s="1"/>
  <c r="K176" i="3"/>
  <c r="K217" i="3" s="1"/>
  <c r="K175" i="3" s="1"/>
  <c r="J176" i="3"/>
  <c r="J217" i="3" s="1"/>
  <c r="I176" i="3"/>
  <c r="Q181" i="15" l="1"/>
  <c r="Q182" i="15" s="1"/>
  <c r="Q168" i="15"/>
  <c r="R172" i="15"/>
  <c r="R173" i="15"/>
  <c r="R171" i="15"/>
  <c r="R174" i="15" s="1"/>
  <c r="R175" i="15" s="1"/>
  <c r="O170" i="15"/>
  <c r="O169" i="15"/>
  <c r="P170" i="15"/>
  <c r="P169" i="15"/>
  <c r="Z173" i="3"/>
  <c r="AB174" i="3"/>
  <c r="X173" i="3"/>
  <c r="AB173" i="3"/>
  <c r="L173" i="3"/>
  <c r="N173" i="3"/>
  <c r="P173" i="3"/>
  <c r="R173" i="3"/>
  <c r="T173" i="3"/>
  <c r="V173" i="3"/>
  <c r="L174" i="3"/>
  <c r="N174" i="3"/>
  <c r="P174" i="3"/>
  <c r="R174" i="3"/>
  <c r="T174" i="3"/>
  <c r="V174" i="3"/>
  <c r="X174" i="3"/>
  <c r="Z174" i="3"/>
  <c r="K173" i="3"/>
  <c r="M173" i="3"/>
  <c r="O173" i="3"/>
  <c r="Q173" i="3"/>
  <c r="S173" i="3"/>
  <c r="U173" i="3"/>
  <c r="W173" i="3"/>
  <c r="Y173" i="3"/>
  <c r="AA173" i="3"/>
  <c r="K174" i="3"/>
  <c r="M174" i="3"/>
  <c r="O174" i="3"/>
  <c r="Q174" i="3"/>
  <c r="S174" i="3"/>
  <c r="U174" i="3"/>
  <c r="W174" i="3"/>
  <c r="Y174" i="3"/>
  <c r="AA174" i="3"/>
  <c r="J174" i="3"/>
  <c r="J175" i="3"/>
  <c r="J173" i="3"/>
  <c r="AC173" i="3"/>
  <c r="AC175" i="3"/>
  <c r="AC183" i="3"/>
  <c r="AB196" i="3"/>
  <c r="AB197" i="3" s="1"/>
  <c r="AA196" i="3"/>
  <c r="AA197" i="3" s="1"/>
  <c r="Z196" i="3"/>
  <c r="Z197" i="3" s="1"/>
  <c r="Y196" i="3"/>
  <c r="X196" i="3"/>
  <c r="X197" i="3" s="1"/>
  <c r="W196" i="3"/>
  <c r="W197" i="3" s="1"/>
  <c r="V196" i="3"/>
  <c r="V197" i="3" s="1"/>
  <c r="U196" i="3"/>
  <c r="U197" i="3" s="1"/>
  <c r="T196" i="3"/>
  <c r="T197" i="3" s="1"/>
  <c r="S196" i="3"/>
  <c r="S197" i="3" s="1"/>
  <c r="R196" i="3"/>
  <c r="R197" i="3" s="1"/>
  <c r="Q196" i="3"/>
  <c r="Q197" i="3" s="1"/>
  <c r="P196" i="3"/>
  <c r="P197" i="3" s="1"/>
  <c r="O196" i="3"/>
  <c r="O197" i="3" s="1"/>
  <c r="AB183" i="3"/>
  <c r="AA183" i="3"/>
  <c r="Z183" i="3"/>
  <c r="Y183" i="3"/>
  <c r="X183" i="3"/>
  <c r="V38" i="3" s="1"/>
  <c r="W183" i="3"/>
  <c r="V183" i="3"/>
  <c r="V34" i="3" s="1"/>
  <c r="U183" i="3"/>
  <c r="V32" i="3" s="1"/>
  <c r="W32" i="3" s="1"/>
  <c r="T183" i="3"/>
  <c r="V30" i="3" s="1"/>
  <c r="W30" i="3" s="1"/>
  <c r="S183" i="3"/>
  <c r="R183" i="3"/>
  <c r="V26" i="3" s="1"/>
  <c r="Q183" i="3"/>
  <c r="V24" i="3" s="1"/>
  <c r="P183" i="3"/>
  <c r="V22" i="3" s="1"/>
  <c r="O183" i="3"/>
  <c r="Y184" i="3" l="1"/>
  <c r="V41" i="3" s="1"/>
  <c r="Y185" i="3"/>
  <c r="V40" i="3" s="1"/>
  <c r="W40" i="3" s="1"/>
  <c r="Q170" i="15"/>
  <c r="Q169" i="15"/>
  <c r="P171" i="15"/>
  <c r="P174" i="15" s="1"/>
  <c r="P175" i="15" s="1"/>
  <c r="P172" i="15"/>
  <c r="P173" i="15"/>
  <c r="O171" i="15"/>
  <c r="O174" i="15" s="1"/>
  <c r="O175" i="15" s="1"/>
  <c r="O172" i="15"/>
  <c r="O173" i="15"/>
  <c r="R179" i="15"/>
  <c r="R180" i="15" s="1"/>
  <c r="R178" i="15"/>
  <c r="R183" i="15" s="1"/>
  <c r="Y197" i="3"/>
  <c r="Z55" i="3"/>
  <c r="FO56" i="3" s="1"/>
  <c r="V46" i="3"/>
  <c r="V52" i="3"/>
  <c r="V43" i="3"/>
  <c r="V49" i="3"/>
  <c r="S188" i="3"/>
  <c r="V28" i="3"/>
  <c r="W188" i="3"/>
  <c r="V36" i="3"/>
  <c r="AA188" i="3"/>
  <c r="O188" i="3"/>
  <c r="V20" i="3"/>
  <c r="W20" i="3" s="1"/>
  <c r="AC188" i="3"/>
  <c r="AC186" i="3"/>
  <c r="AC187" i="3"/>
  <c r="AC189" i="3" s="1"/>
  <c r="AC190" i="3" s="1"/>
  <c r="Q186" i="3"/>
  <c r="U186" i="3"/>
  <c r="Y186" i="3"/>
  <c r="O187" i="3"/>
  <c r="S187" i="3"/>
  <c r="W187" i="3"/>
  <c r="AA187" i="3"/>
  <c r="Q188" i="3"/>
  <c r="U188" i="3"/>
  <c r="O186" i="3"/>
  <c r="S186" i="3"/>
  <c r="W186" i="3"/>
  <c r="AA186" i="3"/>
  <c r="Q187" i="3"/>
  <c r="U187" i="3"/>
  <c r="Y187" i="3"/>
  <c r="P186" i="3"/>
  <c r="R186" i="3"/>
  <c r="T186" i="3"/>
  <c r="V186" i="3"/>
  <c r="X186" i="3"/>
  <c r="Z186" i="3"/>
  <c r="AB186" i="3"/>
  <c r="P187" i="3"/>
  <c r="R187" i="3"/>
  <c r="T187" i="3"/>
  <c r="V187" i="3"/>
  <c r="X187" i="3"/>
  <c r="Z187" i="3"/>
  <c r="AB187" i="3"/>
  <c r="P188" i="3"/>
  <c r="R188" i="3"/>
  <c r="T188" i="3"/>
  <c r="V188" i="3"/>
  <c r="X188" i="3"/>
  <c r="Z188" i="3"/>
  <c r="AB188" i="3"/>
  <c r="N196" i="3"/>
  <c r="N197" i="3" s="1"/>
  <c r="M196" i="3"/>
  <c r="M197" i="3" s="1"/>
  <c r="L196" i="3"/>
  <c r="L197" i="3" s="1"/>
  <c r="K196" i="3"/>
  <c r="K197" i="3" s="1"/>
  <c r="J196" i="3"/>
  <c r="J197" i="3" s="1"/>
  <c r="N183" i="3"/>
  <c r="V18" i="3" s="1"/>
  <c r="M183" i="3"/>
  <c r="L183" i="3"/>
  <c r="V14" i="3" s="1"/>
  <c r="W14" i="3" s="1"/>
  <c r="K183" i="3"/>
  <c r="J183" i="3"/>
  <c r="V10" i="3" s="1"/>
  <c r="W10" i="3" s="1"/>
  <c r="Y188" i="3" l="1"/>
  <c r="O178" i="15"/>
  <c r="O183" i="15" s="1"/>
  <c r="O179" i="15"/>
  <c r="O180" i="15" s="1"/>
  <c r="P178" i="15"/>
  <c r="P183" i="15" s="1"/>
  <c r="P179" i="15"/>
  <c r="P180" i="15" s="1"/>
  <c r="Q171" i="15"/>
  <c r="Q174" i="15" s="1"/>
  <c r="Q175" i="15" s="1"/>
  <c r="Q173" i="15"/>
  <c r="Q172" i="15"/>
  <c r="FO57" i="3"/>
  <c r="FR56" i="3"/>
  <c r="K187" i="3"/>
  <c r="V12" i="3"/>
  <c r="M188" i="3"/>
  <c r="V16" i="3"/>
  <c r="AC194" i="3"/>
  <c r="AC195" i="3" s="1"/>
  <c r="AC193" i="3"/>
  <c r="AC198" i="3" s="1"/>
  <c r="L186" i="3"/>
  <c r="L188" i="3"/>
  <c r="N188" i="3"/>
  <c r="N186" i="3"/>
  <c r="J188" i="3"/>
  <c r="J186" i="3"/>
  <c r="J187" i="3"/>
  <c r="M187" i="3"/>
  <c r="K186" i="3"/>
  <c r="M186" i="3"/>
  <c r="L187" i="3"/>
  <c r="N187" i="3"/>
  <c r="K188" i="3"/>
  <c r="Q178" i="15" l="1"/>
  <c r="Q183" i="15" s="1"/>
  <c r="Q179" i="15"/>
  <c r="Q180" i="15" s="1"/>
  <c r="FW56" i="3"/>
  <c r="FW57" i="3" s="1"/>
  <c r="FR57" i="3"/>
  <c r="FZ56" i="3"/>
  <c r="FZ57" i="3" s="1"/>
  <c r="I217" i="3"/>
  <c r="I196" i="3"/>
  <c r="I183" i="3"/>
  <c r="I185" i="3" l="1"/>
  <c r="V8" i="3" s="1"/>
  <c r="W8" i="3" s="1"/>
  <c r="I184" i="3"/>
  <c r="V9" i="3" s="1"/>
  <c r="I174" i="3"/>
  <c r="I175" i="3"/>
  <c r="I192" i="3" s="1"/>
  <c r="I173" i="3"/>
  <c r="I197" i="3" s="1"/>
  <c r="I186" i="3" l="1"/>
  <c r="I187" i="3"/>
  <c r="I189" i="3" s="1"/>
  <c r="I190" i="3" s="1"/>
  <c r="I193" i="3" s="1"/>
  <c r="I188" i="3"/>
  <c r="J189" i="3"/>
  <c r="J190" i="3" s="1"/>
  <c r="P189" i="3"/>
  <c r="P190" i="3" s="1"/>
  <c r="W189" i="3"/>
  <c r="W190" i="3" s="1"/>
  <c r="AB189" i="3"/>
  <c r="AB190" i="3" s="1"/>
  <c r="T189" i="3"/>
  <c r="T190" i="3" s="1"/>
  <c r="Z189" i="3"/>
  <c r="Z190" i="3" s="1"/>
  <c r="R189" i="3"/>
  <c r="R190" i="3" s="1"/>
  <c r="Q189" i="3"/>
  <c r="Q190" i="3" s="1"/>
  <c r="S189" i="3"/>
  <c r="S190" i="3" s="1"/>
  <c r="AA189" i="3"/>
  <c r="AA190" i="3" s="1"/>
  <c r="X189" i="3"/>
  <c r="X190" i="3" s="1"/>
  <c r="U189" i="3"/>
  <c r="U190" i="3" s="1"/>
  <c r="V189" i="3"/>
  <c r="V190" i="3" s="1"/>
  <c r="Y189" i="3"/>
  <c r="Y190" i="3" s="1"/>
  <c r="O189" i="3"/>
  <c r="O190" i="3" s="1"/>
  <c r="K189" i="3"/>
  <c r="K190" i="3" s="1"/>
  <c r="M189" i="3"/>
  <c r="M190" i="3" s="1"/>
  <c r="N189" i="3"/>
  <c r="N190" i="3" s="1"/>
  <c r="L189" i="3"/>
  <c r="L190" i="3" s="1"/>
  <c r="J194" i="3"/>
  <c r="J195" i="3" s="1"/>
  <c r="T193" i="3"/>
  <c r="T198" i="3" s="1"/>
  <c r="X194" i="3"/>
  <c r="X195" i="3" s="1"/>
  <c r="AB193" i="3"/>
  <c r="AB198" i="3" s="1"/>
  <c r="W194" i="3"/>
  <c r="W195" i="3" s="1"/>
  <c r="AA194" i="3"/>
  <c r="AA195" i="3" s="1"/>
  <c r="R193" i="3"/>
  <c r="R198" i="3" s="1"/>
  <c r="V194" i="3"/>
  <c r="V195" i="3" s="1"/>
  <c r="Z193" i="3"/>
  <c r="Z198" i="3" s="1"/>
  <c r="Q194" i="3"/>
  <c r="Q195" i="3" s="1"/>
  <c r="U193" i="3"/>
  <c r="U198" i="3" s="1"/>
  <c r="L193" i="3"/>
  <c r="L198" i="3" s="1"/>
  <c r="N194" i="3"/>
  <c r="N195" i="3" s="1"/>
  <c r="M194" i="3"/>
  <c r="M195" i="3" s="1"/>
  <c r="O194" i="3" l="1"/>
  <c r="O195" i="3" s="1"/>
  <c r="J193" i="3"/>
  <c r="J198" i="3" s="1"/>
  <c r="P193" i="3"/>
  <c r="P198" i="3" s="1"/>
  <c r="P194" i="3"/>
  <c r="P195" i="3" s="1"/>
  <c r="N193" i="3"/>
  <c r="N198" i="3" s="1"/>
  <c r="U194" i="3"/>
  <c r="U195" i="3" s="1"/>
  <c r="AA193" i="3"/>
  <c r="AA198" i="3" s="1"/>
  <c r="Q193" i="3"/>
  <c r="Q198" i="3" s="1"/>
  <c r="Z194" i="3"/>
  <c r="Z195" i="3" s="1"/>
  <c r="AB194" i="3"/>
  <c r="AB195" i="3" s="1"/>
  <c r="K194" i="3"/>
  <c r="K195" i="3" s="1"/>
  <c r="K193" i="3"/>
  <c r="K198" i="3" s="1"/>
  <c r="S193" i="3"/>
  <c r="S198" i="3" s="1"/>
  <c r="S194" i="3"/>
  <c r="S195" i="3" s="1"/>
  <c r="L194" i="3"/>
  <c r="L195" i="3" s="1"/>
  <c r="M193" i="3"/>
  <c r="M198" i="3" s="1"/>
  <c r="O193" i="3"/>
  <c r="O198" i="3" s="1"/>
  <c r="V193" i="3"/>
  <c r="V198" i="3" s="1"/>
  <c r="X193" i="3"/>
  <c r="X198" i="3" s="1"/>
  <c r="R194" i="3"/>
  <c r="R195" i="3" s="1"/>
  <c r="T194" i="3"/>
  <c r="T195" i="3" s="1"/>
  <c r="W193" i="3"/>
  <c r="W198" i="3" s="1"/>
  <c r="I194" i="3"/>
  <c r="I195" i="3" s="1"/>
  <c r="I198" i="3"/>
  <c r="CU366" i="3"/>
  <c r="CU368" i="3" s="1"/>
  <c r="CU370" i="3" s="1"/>
  <c r="CU372" i="3" s="1"/>
  <c r="CU374" i="3" s="1"/>
  <c r="CS366" i="3"/>
  <c r="CS368" i="3" s="1"/>
  <c r="CS370" i="3" s="1"/>
  <c r="CS372" i="3" s="1"/>
  <c r="CS374" i="3" s="1"/>
  <c r="CU319" i="3"/>
  <c r="CT319" i="3" s="1"/>
  <c r="CT320" i="3" s="1"/>
  <c r="CS319" i="3"/>
  <c r="CR319" i="3" s="1"/>
  <c r="CR320" i="3" s="1"/>
  <c r="CT317" i="3"/>
  <c r="CT318" i="3" s="1"/>
  <c r="CR317" i="3"/>
  <c r="CR318" i="3" s="1"/>
  <c r="CT315" i="3"/>
  <c r="CT316" i="3" s="1"/>
  <c r="CR315" i="3"/>
  <c r="CR316" i="3" s="1"/>
  <c r="CT313" i="3"/>
  <c r="CT314" i="3" s="1"/>
  <c r="CR313" i="3"/>
  <c r="CR314" i="3" s="1"/>
  <c r="CT311" i="3"/>
  <c r="CT312" i="3" s="1"/>
  <c r="CR311" i="3"/>
  <c r="CR312" i="3" s="1"/>
  <c r="CT309" i="3"/>
  <c r="CT310" i="3" s="1"/>
  <c r="CR309" i="3"/>
  <c r="CR310" i="3" s="1"/>
  <c r="CT307" i="3"/>
  <c r="CT308" i="3" s="1"/>
  <c r="CR307" i="3"/>
  <c r="CR308" i="3" s="1"/>
  <c r="CT305" i="3"/>
  <c r="CT306" i="3" s="1"/>
  <c r="CR305" i="3"/>
  <c r="CR306" i="3" s="1"/>
  <c r="CT303" i="3"/>
  <c r="CT304" i="3" s="1"/>
  <c r="CR303" i="3"/>
  <c r="CR304" i="3" s="1"/>
  <c r="CT301" i="3"/>
  <c r="CT302" i="3" s="1"/>
  <c r="CR301" i="3"/>
  <c r="CR302" i="3" s="1"/>
  <c r="M94" i="14"/>
  <c r="H94" i="14"/>
  <c r="AL90" i="14"/>
  <c r="AK90" i="14"/>
  <c r="AL89" i="14"/>
  <c r="AK89" i="14"/>
  <c r="V89" i="14"/>
  <c r="T89" i="14"/>
  <c r="M86" i="14"/>
  <c r="H86" i="14"/>
  <c r="AL82" i="14"/>
  <c r="AK82" i="14"/>
  <c r="AL81" i="14"/>
  <c r="AK81" i="14"/>
  <c r="F81" i="14"/>
  <c r="M78" i="14"/>
  <c r="H78" i="14"/>
  <c r="AK74" i="14"/>
  <c r="AK73" i="14"/>
  <c r="F73" i="14"/>
  <c r="M94" i="15"/>
  <c r="H94" i="15"/>
  <c r="AL90" i="15"/>
  <c r="AK90" i="15"/>
  <c r="AL89" i="15"/>
  <c r="AK89" i="15"/>
  <c r="M86" i="15"/>
  <c r="M109" i="18" s="1"/>
  <c r="H86" i="15"/>
  <c r="AK82" i="15"/>
  <c r="AK81" i="15"/>
  <c r="F81" i="15"/>
  <c r="M78" i="15"/>
  <c r="H78" i="15"/>
  <c r="AL74" i="15"/>
  <c r="AK74" i="15"/>
  <c r="AL73" i="15"/>
  <c r="AK73" i="15"/>
  <c r="V73" i="15"/>
  <c r="T73" i="15"/>
  <c r="F73" i="15"/>
  <c r="K43" i="15"/>
  <c r="I109" i="18" s="1"/>
  <c r="K37" i="15"/>
  <c r="H109" i="18" s="1"/>
  <c r="U33" i="15"/>
  <c r="S33" i="15"/>
  <c r="T33" i="15" s="1"/>
  <c r="F33" i="15"/>
  <c r="K31" i="15"/>
  <c r="G109" i="18" s="1"/>
  <c r="U27" i="15"/>
  <c r="S27" i="15"/>
  <c r="F27" i="15"/>
  <c r="N94" i="15" l="1"/>
  <c r="AW89" i="15" s="1"/>
  <c r="N109" i="18"/>
  <c r="N94" i="14"/>
  <c r="AW89" i="14" s="1"/>
  <c r="N84" i="18"/>
  <c r="N78" i="14"/>
  <c r="AW73" i="14" s="1"/>
  <c r="L84" i="18"/>
  <c r="N78" i="15"/>
  <c r="AW73" i="15" s="1"/>
  <c r="L109" i="18"/>
  <c r="N86" i="14"/>
  <c r="AW81" i="14" s="1"/>
  <c r="M84" i="18"/>
  <c r="BN89" i="15"/>
  <c r="BM89" i="15"/>
  <c r="BM90" i="15"/>
  <c r="BO90" i="15" s="1"/>
  <c r="BN90" i="15"/>
  <c r="BP90" i="15" s="1"/>
  <c r="BM82" i="14"/>
  <c r="BO82" i="14" s="1"/>
  <c r="BN82" i="14"/>
  <c r="BP82" i="14" s="1"/>
  <c r="BM81" i="14"/>
  <c r="BN81" i="14"/>
  <c r="BM90" i="14"/>
  <c r="BO90" i="14" s="1"/>
  <c r="BN90" i="14"/>
  <c r="BP90" i="14" s="1"/>
  <c r="BN89" i="14"/>
  <c r="BM89" i="14"/>
  <c r="CY33" i="15"/>
  <c r="BN74" i="14"/>
  <c r="BP74" i="14" s="1"/>
  <c r="BM73" i="14"/>
  <c r="BM74" i="14"/>
  <c r="BO74" i="14" s="1"/>
  <c r="BN73" i="14"/>
  <c r="N86" i="15"/>
  <c r="CR395" i="3"/>
  <c r="CR397" i="3"/>
  <c r="CR398" i="3" s="1"/>
  <c r="CR401" i="3"/>
  <c r="CR402" i="3" s="1"/>
  <c r="CR405" i="3"/>
  <c r="CR406" i="3" s="1"/>
  <c r="CR409" i="3"/>
  <c r="CR410" i="3" s="1"/>
  <c r="CR413" i="3"/>
  <c r="CR414" i="3" s="1"/>
  <c r="CT397" i="3"/>
  <c r="CT398" i="3" s="1"/>
  <c r="CT401" i="3"/>
  <c r="CT402" i="3" s="1"/>
  <c r="CT405" i="3"/>
  <c r="CT406" i="3" s="1"/>
  <c r="CT407" i="3"/>
  <c r="CT408" i="3" s="1"/>
  <c r="CT411" i="3"/>
  <c r="CT412" i="3" s="1"/>
  <c r="CT395" i="3"/>
  <c r="CR399" i="3"/>
  <c r="CR400" i="3" s="1"/>
  <c r="CR403" i="3"/>
  <c r="CR404" i="3" s="1"/>
  <c r="CR407" i="3"/>
  <c r="CR408" i="3" s="1"/>
  <c r="CR411" i="3"/>
  <c r="CR412" i="3" s="1"/>
  <c r="CT399" i="3"/>
  <c r="CT400" i="3" s="1"/>
  <c r="CT403" i="3"/>
  <c r="CT404" i="3" s="1"/>
  <c r="CT409" i="3"/>
  <c r="CT410" i="3" s="1"/>
  <c r="CT413" i="3"/>
  <c r="CT414" i="3" s="1"/>
  <c r="CT348" i="3"/>
  <c r="CR350" i="3"/>
  <c r="CR351" i="3" s="1"/>
  <c r="CR354" i="3"/>
  <c r="CR355" i="3" s="1"/>
  <c r="CR358" i="3"/>
  <c r="CR359" i="3" s="1"/>
  <c r="CT350" i="3"/>
  <c r="CT351" i="3" s="1"/>
  <c r="CT354" i="3"/>
  <c r="CT355" i="3" s="1"/>
  <c r="CT358" i="3"/>
  <c r="CT359" i="3" s="1"/>
  <c r="CT362" i="3"/>
  <c r="CT363" i="3" s="1"/>
  <c r="CT366" i="3"/>
  <c r="CT367" i="3" s="1"/>
  <c r="CR348" i="3"/>
  <c r="CR352" i="3"/>
  <c r="CR353" i="3" s="1"/>
  <c r="CR356" i="3"/>
  <c r="CR357" i="3" s="1"/>
  <c r="CR360" i="3"/>
  <c r="CR361" i="3" s="1"/>
  <c r="CR362" i="3"/>
  <c r="CR363" i="3" s="1"/>
  <c r="CR364" i="3"/>
  <c r="CR365" i="3" s="1"/>
  <c r="CR366" i="3"/>
  <c r="CR367" i="3" s="1"/>
  <c r="CT352" i="3"/>
  <c r="CT353" i="3" s="1"/>
  <c r="CT356" i="3"/>
  <c r="CT357" i="3" s="1"/>
  <c r="CT360" i="3"/>
  <c r="CT361" i="3" s="1"/>
  <c r="CT364" i="3"/>
  <c r="CT365" i="3" s="1"/>
  <c r="CU373" i="3"/>
  <c r="CU376" i="3"/>
  <c r="CS373" i="3"/>
  <c r="CS376" i="3"/>
  <c r="CS321" i="3"/>
  <c r="CU321" i="3"/>
  <c r="O27" i="15"/>
  <c r="F39" i="15"/>
  <c r="K25" i="15"/>
  <c r="F109" i="18" s="1"/>
  <c r="F21" i="15"/>
  <c r="F89" i="15"/>
  <c r="M70" i="15"/>
  <c r="H70" i="15"/>
  <c r="AL66" i="15"/>
  <c r="AK66" i="15"/>
  <c r="AL65" i="15"/>
  <c r="AK65" i="15"/>
  <c r="F65" i="15"/>
  <c r="F623" i="15"/>
  <c r="G623" i="15" s="1"/>
  <c r="F622" i="15"/>
  <c r="G622" i="15" s="1"/>
  <c r="F621" i="15"/>
  <c r="G621" i="15" s="1"/>
  <c r="F620" i="15"/>
  <c r="G620" i="15" s="1"/>
  <c r="F619" i="15"/>
  <c r="G619" i="15" s="1"/>
  <c r="F618" i="15"/>
  <c r="G618" i="15" s="1"/>
  <c r="F611" i="15"/>
  <c r="F612" i="15" s="1"/>
  <c r="F613" i="15" s="1"/>
  <c r="F614" i="15" s="1"/>
  <c r="F615" i="15" s="1"/>
  <c r="F616" i="15" s="1"/>
  <c r="O599" i="15"/>
  <c r="AZ416" i="15"/>
  <c r="AY416" i="15" s="1"/>
  <c r="AX416" i="15"/>
  <c r="AW416" i="15" s="1"/>
  <c r="AU416" i="15"/>
  <c r="AU418" i="15" s="1"/>
  <c r="AU420" i="15" s="1"/>
  <c r="AU422" i="15" s="1"/>
  <c r="AU424" i="15" s="1"/>
  <c r="AS416" i="15"/>
  <c r="AS418" i="15" s="1"/>
  <c r="AS420" i="15" s="1"/>
  <c r="AS422" i="15" s="1"/>
  <c r="AS424" i="15" s="1"/>
  <c r="AY414" i="15"/>
  <c r="AY415" i="15" s="1"/>
  <c r="AT415" i="15" s="1"/>
  <c r="AW414" i="15"/>
  <c r="AW415" i="15" s="1"/>
  <c r="AR415" i="15" s="1"/>
  <c r="AY412" i="15"/>
  <c r="AY413" i="15" s="1"/>
  <c r="AT413" i="15" s="1"/>
  <c r="AW412" i="15"/>
  <c r="AW413" i="15" s="1"/>
  <c r="AR413" i="15" s="1"/>
  <c r="AY410" i="15"/>
  <c r="AY411" i="15" s="1"/>
  <c r="AT411" i="15" s="1"/>
  <c r="AW410" i="15"/>
  <c r="AW411" i="15" s="1"/>
  <c r="AR411" i="15" s="1"/>
  <c r="AY408" i="15"/>
  <c r="AY409" i="15" s="1"/>
  <c r="AT409" i="15" s="1"/>
  <c r="AW408" i="15"/>
  <c r="AW409" i="15" s="1"/>
  <c r="AR409" i="15" s="1"/>
  <c r="AY406" i="15"/>
  <c r="AY407" i="15" s="1"/>
  <c r="AT407" i="15" s="1"/>
  <c r="AW406" i="15"/>
  <c r="AW407" i="15" s="1"/>
  <c r="AR407" i="15" s="1"/>
  <c r="AY404" i="15"/>
  <c r="AY405" i="15" s="1"/>
  <c r="AT405" i="15" s="1"/>
  <c r="AW404" i="15"/>
  <c r="AW405" i="15" s="1"/>
  <c r="AR405" i="15" s="1"/>
  <c r="AY402" i="15"/>
  <c r="AY403" i="15" s="1"/>
  <c r="AT403" i="15" s="1"/>
  <c r="AW402" i="15"/>
  <c r="AW403" i="15" s="1"/>
  <c r="AR403" i="15" s="1"/>
  <c r="AY400" i="15"/>
  <c r="AY401" i="15" s="1"/>
  <c r="AT401" i="15" s="1"/>
  <c r="AW400" i="15"/>
  <c r="AW401" i="15" s="1"/>
  <c r="AR401" i="15" s="1"/>
  <c r="AY398" i="15"/>
  <c r="AY399" i="15" s="1"/>
  <c r="AT399" i="15" s="1"/>
  <c r="AW398" i="15"/>
  <c r="AW399" i="15" s="1"/>
  <c r="AR399" i="15" s="1"/>
  <c r="I397" i="15"/>
  <c r="I396" i="15"/>
  <c r="I395" i="15"/>
  <c r="I394" i="15"/>
  <c r="I393" i="15"/>
  <c r="I392" i="15"/>
  <c r="I391" i="15"/>
  <c r="I390" i="15"/>
  <c r="I389" i="15"/>
  <c r="I388" i="15"/>
  <c r="I387" i="15"/>
  <c r="AZ369" i="15"/>
  <c r="AZ371" i="15" s="1"/>
  <c r="AX369" i="15"/>
  <c r="AX371" i="15" s="1"/>
  <c r="AU369" i="15"/>
  <c r="AU371" i="15" s="1"/>
  <c r="AU373" i="15" s="1"/>
  <c r="AU375" i="15" s="1"/>
  <c r="AU377" i="15" s="1"/>
  <c r="AU379" i="15" s="1"/>
  <c r="AS369" i="15"/>
  <c r="AS371" i="15" s="1"/>
  <c r="AS373" i="15" s="1"/>
  <c r="AS375" i="15" s="1"/>
  <c r="AS377" i="15" s="1"/>
  <c r="AS379" i="15" s="1"/>
  <c r="AY367" i="15"/>
  <c r="AY368" i="15" s="1"/>
  <c r="AT368" i="15" s="1"/>
  <c r="AW367" i="15"/>
  <c r="AW368" i="15" s="1"/>
  <c r="AR368" i="15" s="1"/>
  <c r="AT367" i="15"/>
  <c r="AY365" i="15"/>
  <c r="AY366" i="15" s="1"/>
  <c r="AT366" i="15" s="1"/>
  <c r="AW365" i="15"/>
  <c r="AW366" i="15" s="1"/>
  <c r="AR366" i="15" s="1"/>
  <c r="AT365" i="15"/>
  <c r="AY363" i="15"/>
  <c r="AY364" i="15" s="1"/>
  <c r="AT364" i="15" s="1"/>
  <c r="AW363" i="15"/>
  <c r="AW364" i="15" s="1"/>
  <c r="AR364" i="15" s="1"/>
  <c r="AT363" i="15"/>
  <c r="AY361" i="15"/>
  <c r="AY362" i="15" s="1"/>
  <c r="AT362" i="15" s="1"/>
  <c r="AW361" i="15"/>
  <c r="AW362" i="15" s="1"/>
  <c r="AR362" i="15" s="1"/>
  <c r="AT361" i="15"/>
  <c r="AY359" i="15"/>
  <c r="AY360" i="15" s="1"/>
  <c r="AT360" i="15" s="1"/>
  <c r="AW359" i="15"/>
  <c r="AW360" i="15" s="1"/>
  <c r="AR360" i="15" s="1"/>
  <c r="AT359" i="15"/>
  <c r="AY357" i="15"/>
  <c r="AY358" i="15" s="1"/>
  <c r="AT358" i="15" s="1"/>
  <c r="AW357" i="15"/>
  <c r="AW358" i="15" s="1"/>
  <c r="AR358" i="15" s="1"/>
  <c r="AT357" i="15"/>
  <c r="AY355" i="15"/>
  <c r="AY356" i="15" s="1"/>
  <c r="AT356" i="15" s="1"/>
  <c r="AW355" i="15"/>
  <c r="AW356" i="15" s="1"/>
  <c r="AR356" i="15" s="1"/>
  <c r="AT355" i="15"/>
  <c r="AY353" i="15"/>
  <c r="AY354" i="15" s="1"/>
  <c r="AT354" i="15" s="1"/>
  <c r="AW353" i="15"/>
  <c r="AW354" i="15" s="1"/>
  <c r="AR354" i="15" s="1"/>
  <c r="AT353" i="15"/>
  <c r="AY351" i="15"/>
  <c r="AY352" i="15" s="1"/>
  <c r="AT352" i="15" s="1"/>
  <c r="AW351" i="15"/>
  <c r="AW352" i="15" s="1"/>
  <c r="AR352" i="15" s="1"/>
  <c r="AT351" i="15"/>
  <c r="AZ322" i="15"/>
  <c r="AZ324" i="15" s="1"/>
  <c r="AX322" i="15"/>
  <c r="AX324" i="15" s="1"/>
  <c r="AU322" i="15"/>
  <c r="AU324" i="15" s="1"/>
  <c r="AU326" i="15" s="1"/>
  <c r="AU328" i="15" s="1"/>
  <c r="AU330" i="15" s="1"/>
  <c r="AS322" i="15"/>
  <c r="AS324" i="15" s="1"/>
  <c r="AS326" i="15" s="1"/>
  <c r="AS328" i="15" s="1"/>
  <c r="AS330" i="15" s="1"/>
  <c r="AY320" i="15"/>
  <c r="AY321" i="15" s="1"/>
  <c r="AT321" i="15" s="1"/>
  <c r="AW320" i="15"/>
  <c r="AW321" i="15" s="1"/>
  <c r="AR321" i="15" s="1"/>
  <c r="AT320" i="15"/>
  <c r="AY318" i="15"/>
  <c r="AY319" i="15" s="1"/>
  <c r="AT319" i="15" s="1"/>
  <c r="AW318" i="15"/>
  <c r="AW319" i="15" s="1"/>
  <c r="AR319" i="15" s="1"/>
  <c r="AT318" i="15"/>
  <c r="AY316" i="15"/>
  <c r="AY317" i="15" s="1"/>
  <c r="AT317" i="15" s="1"/>
  <c r="AW316" i="15"/>
  <c r="AW317" i="15" s="1"/>
  <c r="AR317" i="15" s="1"/>
  <c r="AT316" i="15"/>
  <c r="AY314" i="15"/>
  <c r="AY315" i="15" s="1"/>
  <c r="AT315" i="15" s="1"/>
  <c r="AW314" i="15"/>
  <c r="AW315" i="15" s="1"/>
  <c r="AR315" i="15" s="1"/>
  <c r="AT314" i="15"/>
  <c r="AY312" i="15"/>
  <c r="AY313" i="15" s="1"/>
  <c r="AT313" i="15" s="1"/>
  <c r="AW312" i="15"/>
  <c r="AW313" i="15" s="1"/>
  <c r="AR313" i="15" s="1"/>
  <c r="AT312" i="15"/>
  <c r="AY310" i="15"/>
  <c r="AY311" i="15" s="1"/>
  <c r="AT311" i="15" s="1"/>
  <c r="AW310" i="15"/>
  <c r="AW311" i="15" s="1"/>
  <c r="AR311" i="15" s="1"/>
  <c r="AT310" i="15"/>
  <c r="AY308" i="15"/>
  <c r="AY309" i="15" s="1"/>
  <c r="AT309" i="15" s="1"/>
  <c r="AW308" i="15"/>
  <c r="AW309" i="15" s="1"/>
  <c r="AR309" i="15" s="1"/>
  <c r="AT308" i="15"/>
  <c r="AY306" i="15"/>
  <c r="AY307" i="15" s="1"/>
  <c r="AT307" i="15" s="1"/>
  <c r="AW306" i="15"/>
  <c r="AW307" i="15" s="1"/>
  <c r="AR307" i="15" s="1"/>
  <c r="AT306" i="15"/>
  <c r="AY304" i="15"/>
  <c r="AY305" i="15" s="1"/>
  <c r="AT305" i="15" s="1"/>
  <c r="AW304" i="15"/>
  <c r="AW305" i="15" s="1"/>
  <c r="AR305" i="15" s="1"/>
  <c r="AT304" i="15"/>
  <c r="M62" i="15"/>
  <c r="H62" i="15"/>
  <c r="AK58" i="15"/>
  <c r="AK57" i="15"/>
  <c r="N57" i="15"/>
  <c r="F57" i="15"/>
  <c r="M52" i="15"/>
  <c r="G52" i="15"/>
  <c r="K19" i="15"/>
  <c r="E109" i="18" s="1"/>
  <c r="AJ15" i="15"/>
  <c r="M15" i="15"/>
  <c r="F15" i="15"/>
  <c r="M10" i="15"/>
  <c r="G10" i="15"/>
  <c r="AZ415" i="14"/>
  <c r="AY415" i="14" s="1"/>
  <c r="AX415" i="14"/>
  <c r="AW415" i="14" s="1"/>
  <c r="AY413" i="14"/>
  <c r="AW413" i="14"/>
  <c r="AW414" i="14" s="1"/>
  <c r="AR414" i="14" s="1"/>
  <c r="AY411" i="14"/>
  <c r="AW411" i="14"/>
  <c r="AW412" i="14" s="1"/>
  <c r="AR412" i="14" s="1"/>
  <c r="AY409" i="14"/>
  <c r="AW409" i="14"/>
  <c r="AW410" i="14" s="1"/>
  <c r="AR410" i="14" s="1"/>
  <c r="AY407" i="14"/>
  <c r="AW407" i="14"/>
  <c r="AW408" i="14" s="1"/>
  <c r="AR408" i="14" s="1"/>
  <c r="AY405" i="14"/>
  <c r="AW405" i="14"/>
  <c r="AW406" i="14" s="1"/>
  <c r="AR406" i="14" s="1"/>
  <c r="AY403" i="14"/>
  <c r="AW403" i="14"/>
  <c r="AW404" i="14" s="1"/>
  <c r="AR404" i="14" s="1"/>
  <c r="AY401" i="14"/>
  <c r="AW401" i="14"/>
  <c r="AW402" i="14" s="1"/>
  <c r="AR402" i="14" s="1"/>
  <c r="AY399" i="14"/>
  <c r="AW399" i="14"/>
  <c r="AW400" i="14" s="1"/>
  <c r="AR400" i="14" s="1"/>
  <c r="AY397" i="14"/>
  <c r="AW397" i="14"/>
  <c r="AW398" i="14" s="1"/>
  <c r="AR398" i="14" s="1"/>
  <c r="AZ368" i="14"/>
  <c r="AY368" i="14" s="1"/>
  <c r="AY369" i="14" s="1"/>
  <c r="AX368" i="14"/>
  <c r="AW368" i="14" s="1"/>
  <c r="AY366" i="14"/>
  <c r="AY367" i="14" s="1"/>
  <c r="AT367" i="14" s="1"/>
  <c r="AW366" i="14"/>
  <c r="AW367" i="14" s="1"/>
  <c r="AR367" i="14" s="1"/>
  <c r="AY364" i="14"/>
  <c r="AY365" i="14" s="1"/>
  <c r="AT365" i="14" s="1"/>
  <c r="AW364" i="14"/>
  <c r="AW365" i="14" s="1"/>
  <c r="AR365" i="14" s="1"/>
  <c r="AY362" i="14"/>
  <c r="AY363" i="14" s="1"/>
  <c r="AT363" i="14" s="1"/>
  <c r="AW362" i="14"/>
  <c r="AW363" i="14" s="1"/>
  <c r="AR363" i="14" s="1"/>
  <c r="AY360" i="14"/>
  <c r="AY361" i="14" s="1"/>
  <c r="AT361" i="14" s="1"/>
  <c r="AW360" i="14"/>
  <c r="AW361" i="14" s="1"/>
  <c r="AR361" i="14" s="1"/>
  <c r="AY358" i="14"/>
  <c r="AY359" i="14" s="1"/>
  <c r="AT359" i="14" s="1"/>
  <c r="AW358" i="14"/>
  <c r="AW359" i="14" s="1"/>
  <c r="AR359" i="14" s="1"/>
  <c r="AY356" i="14"/>
  <c r="AY357" i="14" s="1"/>
  <c r="AT357" i="14" s="1"/>
  <c r="AW356" i="14"/>
  <c r="AW357" i="14" s="1"/>
  <c r="AR357" i="14" s="1"/>
  <c r="AY354" i="14"/>
  <c r="AY355" i="14" s="1"/>
  <c r="AT355" i="14" s="1"/>
  <c r="AW354" i="14"/>
  <c r="AW355" i="14" s="1"/>
  <c r="AR355" i="14" s="1"/>
  <c r="AY352" i="14"/>
  <c r="AY353" i="14" s="1"/>
  <c r="AT353" i="14" s="1"/>
  <c r="AW352" i="14"/>
  <c r="AW353" i="14" s="1"/>
  <c r="AR353" i="14" s="1"/>
  <c r="AY350" i="14"/>
  <c r="AY351" i="14" s="1"/>
  <c r="AT351" i="14" s="1"/>
  <c r="AW350" i="14"/>
  <c r="AW351" i="14" s="1"/>
  <c r="AR351" i="14" s="1"/>
  <c r="AY319" i="14"/>
  <c r="AY317" i="14"/>
  <c r="AY315" i="14"/>
  <c r="AY313" i="14"/>
  <c r="AY311" i="14"/>
  <c r="AY309" i="14"/>
  <c r="AY307" i="14"/>
  <c r="AY305" i="14"/>
  <c r="AY303" i="14"/>
  <c r="AW319" i="14"/>
  <c r="AW317" i="14"/>
  <c r="AW315" i="14"/>
  <c r="AR315" i="14" s="1"/>
  <c r="AW313" i="14"/>
  <c r="AW314" i="14" s="1"/>
  <c r="AR314" i="14" s="1"/>
  <c r="AW311" i="14"/>
  <c r="AW309" i="14"/>
  <c r="AW307" i="14"/>
  <c r="AR307" i="14" s="1"/>
  <c r="AW305" i="14"/>
  <c r="AW306" i="14" s="1"/>
  <c r="AR306" i="14" s="1"/>
  <c r="AW303" i="14"/>
  <c r="H70" i="14"/>
  <c r="H62" i="14"/>
  <c r="K43" i="14"/>
  <c r="I84" i="18" s="1"/>
  <c r="AJ40" i="14"/>
  <c r="AJ39" i="14"/>
  <c r="F39" i="14"/>
  <c r="K37" i="14"/>
  <c r="H84" i="18" s="1"/>
  <c r="AJ34" i="14"/>
  <c r="AJ33" i="14"/>
  <c r="F33" i="14"/>
  <c r="K31" i="14"/>
  <c r="G84" i="18" s="1"/>
  <c r="AJ28" i="14"/>
  <c r="AJ27" i="14"/>
  <c r="F27" i="14"/>
  <c r="K25" i="14"/>
  <c r="F84" i="18" s="1"/>
  <c r="AJ22" i="14"/>
  <c r="AJ21" i="14"/>
  <c r="F21" i="14"/>
  <c r="F89" i="14"/>
  <c r="M70" i="14"/>
  <c r="K84" i="18" s="1"/>
  <c r="AK66" i="14"/>
  <c r="F65" i="14"/>
  <c r="AK65" i="14"/>
  <c r="AR413" i="14"/>
  <c r="AR411" i="14"/>
  <c r="AR409" i="14"/>
  <c r="AR407" i="14"/>
  <c r="AR405" i="14"/>
  <c r="AR403" i="14"/>
  <c r="AR401" i="14"/>
  <c r="AR399" i="14"/>
  <c r="AR366" i="14"/>
  <c r="AR364" i="14"/>
  <c r="AR362" i="14"/>
  <c r="AR360" i="14"/>
  <c r="AR358" i="14"/>
  <c r="AR356" i="14"/>
  <c r="AR354" i="14"/>
  <c r="AR352" i="14"/>
  <c r="AR350" i="14"/>
  <c r="AR319" i="14"/>
  <c r="AR317" i="14"/>
  <c r="AR311" i="14"/>
  <c r="AR309" i="14"/>
  <c r="AR303" i="14"/>
  <c r="AT319" i="14"/>
  <c r="AT317" i="14"/>
  <c r="AT315" i="14"/>
  <c r="AT313" i="14"/>
  <c r="AT311" i="14"/>
  <c r="AT309" i="14"/>
  <c r="AT307" i="14"/>
  <c r="AT305" i="14"/>
  <c r="AY304" i="14"/>
  <c r="AT304" i="14" s="1"/>
  <c r="AZ321" i="14"/>
  <c r="AZ323" i="14" s="1"/>
  <c r="AZ325" i="14" s="1"/>
  <c r="AZ327" i="14" s="1"/>
  <c r="AZ329" i="14" s="1"/>
  <c r="AY329" i="14" s="1"/>
  <c r="AW320" i="14"/>
  <c r="AR320" i="14" s="1"/>
  <c r="AW318" i="14"/>
  <c r="AR318" i="14" s="1"/>
  <c r="AW316" i="14"/>
  <c r="AR316" i="14" s="1"/>
  <c r="AW312" i="14"/>
  <c r="AR312" i="14" s="1"/>
  <c r="AW310" i="14"/>
  <c r="AR310" i="14" s="1"/>
  <c r="AW308" i="14"/>
  <c r="AR308" i="14" s="1"/>
  <c r="AW304" i="14"/>
  <c r="AR304" i="14" s="1"/>
  <c r="AX321" i="14"/>
  <c r="AX323" i="14" s="1"/>
  <c r="AX325" i="14" s="1"/>
  <c r="AX327" i="14" s="1"/>
  <c r="AX329" i="14" s="1"/>
  <c r="AW329" i="14" s="1"/>
  <c r="K19" i="14"/>
  <c r="E84" i="18" s="1"/>
  <c r="AK58" i="14"/>
  <c r="AK57" i="14"/>
  <c r="AJ16" i="14"/>
  <c r="M62" i="14"/>
  <c r="G52" i="14"/>
  <c r="F57" i="14"/>
  <c r="N57" i="14"/>
  <c r="M52" i="14"/>
  <c r="AJ15" i="14"/>
  <c r="EN117" i="3"/>
  <c r="EM117" i="3"/>
  <c r="EN116" i="3"/>
  <c r="EM116" i="3"/>
  <c r="EN111" i="3"/>
  <c r="EM111" i="3"/>
  <c r="EN110" i="3"/>
  <c r="EM110" i="3"/>
  <c r="EN105" i="3"/>
  <c r="EM105" i="3"/>
  <c r="EN104" i="3"/>
  <c r="EM104" i="3"/>
  <c r="N70" i="15" l="1"/>
  <c r="AW65" i="15" s="1"/>
  <c r="K109" i="18"/>
  <c r="BN73" i="15"/>
  <c r="BM73" i="15"/>
  <c r="BM74" i="15"/>
  <c r="BO74" i="15" s="1"/>
  <c r="BN74" i="15"/>
  <c r="BP74" i="15" s="1"/>
  <c r="AR313" i="14"/>
  <c r="AR398" i="15"/>
  <c r="AR400" i="15"/>
  <c r="AR402" i="15"/>
  <c r="AR404" i="15"/>
  <c r="AR406" i="15"/>
  <c r="AR408" i="15"/>
  <c r="AR410" i="15"/>
  <c r="AR412" i="15"/>
  <c r="AR414" i="15"/>
  <c r="AR305" i="14"/>
  <c r="AR397" i="14"/>
  <c r="AR304" i="15"/>
  <c r="AR306" i="15"/>
  <c r="AR308" i="15"/>
  <c r="AR310" i="15"/>
  <c r="AR312" i="15"/>
  <c r="AR314" i="15"/>
  <c r="AR316" i="15"/>
  <c r="AR318" i="15"/>
  <c r="AR320" i="15"/>
  <c r="AR351" i="15"/>
  <c r="AR353" i="15"/>
  <c r="AR355" i="15"/>
  <c r="AR357" i="15"/>
  <c r="AR359" i="15"/>
  <c r="AR361" i="15"/>
  <c r="AR363" i="15"/>
  <c r="AR365" i="15"/>
  <c r="AR367" i="15"/>
  <c r="AT398" i="15"/>
  <c r="AT400" i="15"/>
  <c r="AT402" i="15"/>
  <c r="AT404" i="15"/>
  <c r="AT406" i="15"/>
  <c r="AT408" i="15"/>
  <c r="AT410" i="15"/>
  <c r="AT412" i="15"/>
  <c r="AT414" i="15"/>
  <c r="N62" i="15"/>
  <c r="AW57" i="15" s="1"/>
  <c r="J109" i="18"/>
  <c r="N62" i="14"/>
  <c r="AW57" i="14" s="1"/>
  <c r="BN57" i="14" s="1"/>
  <c r="J84" i="18"/>
  <c r="BN66" i="15"/>
  <c r="BP66" i="15" s="1"/>
  <c r="BN65" i="15"/>
  <c r="BM65" i="15"/>
  <c r="BM66" i="15"/>
  <c r="BO66" i="15" s="1"/>
  <c r="BM91" i="15"/>
  <c r="BO89" i="15"/>
  <c r="BO91" i="15" s="1"/>
  <c r="BP89" i="15"/>
  <c r="BP91" i="15" s="1"/>
  <c r="BN91" i="15"/>
  <c r="AV92" i="15" s="1"/>
  <c r="BM58" i="14"/>
  <c r="BO58" i="14" s="1"/>
  <c r="BM57" i="14"/>
  <c r="AY400" i="14"/>
  <c r="AT400" i="14" s="1"/>
  <c r="AT399" i="14"/>
  <c r="AY402" i="14"/>
  <c r="AT402" i="14" s="1"/>
  <c r="AT401" i="14"/>
  <c r="AY404" i="14"/>
  <c r="AT404" i="14" s="1"/>
  <c r="AT403" i="14"/>
  <c r="AY406" i="14"/>
  <c r="AT406" i="14" s="1"/>
  <c r="AT405" i="14"/>
  <c r="AY408" i="14"/>
  <c r="AT408" i="14" s="1"/>
  <c r="AT407" i="14"/>
  <c r="AY410" i="14"/>
  <c r="AT410" i="14" s="1"/>
  <c r="AT409" i="14"/>
  <c r="AY412" i="14"/>
  <c r="AT412" i="14" s="1"/>
  <c r="AT411" i="14"/>
  <c r="AY414" i="14"/>
  <c r="AT414" i="14" s="1"/>
  <c r="AT413" i="14"/>
  <c r="AY416" i="14"/>
  <c r="AT416" i="14" s="1"/>
  <c r="AT415" i="14"/>
  <c r="BO89" i="14"/>
  <c r="BO91" i="14" s="1"/>
  <c r="BM91" i="14"/>
  <c r="BN83" i="14"/>
  <c r="AV84" i="14" s="1"/>
  <c r="BP81" i="14"/>
  <c r="BP83" i="14" s="1"/>
  <c r="BN91" i="14"/>
  <c r="AV92" i="14" s="1"/>
  <c r="BP89" i="14"/>
  <c r="BP91" i="14" s="1"/>
  <c r="BO81" i="14"/>
  <c r="BO83" i="14" s="1"/>
  <c r="BM83" i="14"/>
  <c r="BN75" i="14"/>
  <c r="AV76" i="14" s="1"/>
  <c r="BP73" i="14"/>
  <c r="BP75" i="14" s="1"/>
  <c r="BM75" i="14"/>
  <c r="BO73" i="14"/>
  <c r="BO75" i="14" s="1"/>
  <c r="AR85" i="14"/>
  <c r="AR69" i="14"/>
  <c r="AR93" i="14"/>
  <c r="AR77" i="14"/>
  <c r="AR61" i="14"/>
  <c r="AU65" i="14"/>
  <c r="AZ42" i="15"/>
  <c r="AZ30" i="15"/>
  <c r="AZ24" i="15"/>
  <c r="AZ36" i="15"/>
  <c r="AZ18" i="15"/>
  <c r="AW20" i="15"/>
  <c r="AR93" i="15"/>
  <c r="AR69" i="15"/>
  <c r="AR85" i="15"/>
  <c r="AR77" i="15"/>
  <c r="AR61" i="15"/>
  <c r="AU57" i="15"/>
  <c r="AT57" i="15" s="1"/>
  <c r="AU89" i="15"/>
  <c r="AT89" i="15" s="1"/>
  <c r="AU73" i="14"/>
  <c r="AT73" i="14" s="1"/>
  <c r="AW38" i="15"/>
  <c r="AV38" i="15" s="1"/>
  <c r="AU81" i="14"/>
  <c r="AU57" i="14"/>
  <c r="AU89" i="14"/>
  <c r="AU65" i="15"/>
  <c r="AW26" i="15"/>
  <c r="AW44" i="15"/>
  <c r="AU81" i="15"/>
  <c r="AW32" i="15"/>
  <c r="AU73" i="15"/>
  <c r="AW81" i="15"/>
  <c r="AV20" i="15"/>
  <c r="N70" i="14"/>
  <c r="AT57" i="14"/>
  <c r="AY398" i="14"/>
  <c r="AT398" i="14" s="1"/>
  <c r="AT397" i="14"/>
  <c r="AW322" i="15"/>
  <c r="AY322" i="15"/>
  <c r="AW369" i="15"/>
  <c r="AY369" i="15"/>
  <c r="CU375" i="3"/>
  <c r="CU378" i="3"/>
  <c r="CS375" i="3"/>
  <c r="CS378" i="3"/>
  <c r="CR321" i="3"/>
  <c r="CR415" i="3" s="1"/>
  <c r="CR416" i="3" s="1"/>
  <c r="CS323" i="3"/>
  <c r="CT321" i="3"/>
  <c r="CT415" i="3" s="1"/>
  <c r="CT416" i="3" s="1"/>
  <c r="CU323" i="3"/>
  <c r="AW330" i="14"/>
  <c r="AR330" i="14" s="1"/>
  <c r="AR329" i="14"/>
  <c r="AW323" i="14"/>
  <c r="AW327" i="14"/>
  <c r="AY321" i="14"/>
  <c r="AY325" i="14"/>
  <c r="AW321" i="14"/>
  <c r="AW325" i="14"/>
  <c r="AY323" i="14"/>
  <c r="AY327" i="14"/>
  <c r="AY328" i="14" s="1"/>
  <c r="AT328" i="14" s="1"/>
  <c r="AS332" i="15"/>
  <c r="AS329" i="15"/>
  <c r="AU332" i="15"/>
  <c r="AU329" i="15"/>
  <c r="AW324" i="15"/>
  <c r="AX326" i="15"/>
  <c r="AY324" i="15"/>
  <c r="AZ326" i="15"/>
  <c r="AU426" i="15"/>
  <c r="AU423" i="15"/>
  <c r="AT416" i="15"/>
  <c r="AY417" i="15"/>
  <c r="AT417" i="15" s="1"/>
  <c r="AS381" i="15"/>
  <c r="AS378" i="15"/>
  <c r="AU381" i="15"/>
  <c r="AU378" i="15"/>
  <c r="AX373" i="15"/>
  <c r="AW371" i="15"/>
  <c r="AZ373" i="15"/>
  <c r="AY371" i="15"/>
  <c r="AS426" i="15"/>
  <c r="AS423" i="15"/>
  <c r="AW417" i="15"/>
  <c r="AR417" i="15" s="1"/>
  <c r="AR416" i="15"/>
  <c r="AX418" i="15"/>
  <c r="AZ418" i="15"/>
  <c r="AW416" i="14"/>
  <c r="AR416" i="14" s="1"/>
  <c r="AR415" i="14"/>
  <c r="AX417" i="14"/>
  <c r="AZ417" i="14"/>
  <c r="AW369" i="14"/>
  <c r="AR369" i="14" s="1"/>
  <c r="AR368" i="14"/>
  <c r="AX370" i="14"/>
  <c r="AZ370" i="14"/>
  <c r="AK39" i="14"/>
  <c r="AK40" i="14"/>
  <c r="AT323" i="14"/>
  <c r="AY306" i="14"/>
  <c r="AT306" i="14" s="1"/>
  <c r="AY314" i="14"/>
  <c r="AT314" i="14" s="1"/>
  <c r="AT327" i="14"/>
  <c r="AY310" i="14"/>
  <c r="AT310" i="14" s="1"/>
  <c r="AY318" i="14"/>
  <c r="AT318" i="14" s="1"/>
  <c r="AC89" i="14"/>
  <c r="AT329" i="14"/>
  <c r="AY330" i="14"/>
  <c r="AT330" i="14" s="1"/>
  <c r="AT303" i="14"/>
  <c r="AT350" i="14"/>
  <c r="AY308" i="14"/>
  <c r="AT308" i="14" s="1"/>
  <c r="AY312" i="14"/>
  <c r="AT312" i="14" s="1"/>
  <c r="AY316" i="14"/>
  <c r="AT316" i="14" s="1"/>
  <c r="AY320" i="14"/>
  <c r="AT320" i="14" s="1"/>
  <c r="AY324" i="14"/>
  <c r="AT324" i="14" s="1"/>
  <c r="AT352" i="14"/>
  <c r="AT354" i="14"/>
  <c r="AT356" i="14"/>
  <c r="AT358" i="14"/>
  <c r="AT360" i="14"/>
  <c r="AT362" i="14"/>
  <c r="AT364" i="14"/>
  <c r="AT366" i="14"/>
  <c r="AZ328" i="14"/>
  <c r="AZ331" i="14"/>
  <c r="AY331" i="14" s="1"/>
  <c r="AX328" i="14"/>
  <c r="AX331" i="14"/>
  <c r="AW331" i="14" s="1"/>
  <c r="AU415" i="14"/>
  <c r="AS415" i="14"/>
  <c r="AU368" i="14"/>
  <c r="AU370" i="14" s="1"/>
  <c r="AS368" i="14"/>
  <c r="AS370" i="14" s="1"/>
  <c r="AU321" i="14"/>
  <c r="AU323" i="14" s="1"/>
  <c r="AS321" i="14"/>
  <c r="AS323" i="14" s="1"/>
  <c r="G10" i="14"/>
  <c r="F15" i="14"/>
  <c r="I397" i="14"/>
  <c r="I396" i="14"/>
  <c r="I395" i="14"/>
  <c r="I394" i="14"/>
  <c r="I393" i="14"/>
  <c r="I392" i="14"/>
  <c r="I391" i="14"/>
  <c r="I390" i="14"/>
  <c r="I389" i="14"/>
  <c r="I388" i="14"/>
  <c r="I387" i="14"/>
  <c r="AU17" i="14" s="1"/>
  <c r="F622" i="14"/>
  <c r="G623" i="14" s="1"/>
  <c r="F621" i="14"/>
  <c r="G622" i="14" s="1"/>
  <c r="F620" i="14"/>
  <c r="G621" i="14" s="1"/>
  <c r="F619" i="14"/>
  <c r="G620" i="14" s="1"/>
  <c r="F618" i="14"/>
  <c r="G619" i="14" s="1"/>
  <c r="F617" i="14"/>
  <c r="G618" i="14" s="1"/>
  <c r="F610" i="14"/>
  <c r="F611" i="14" s="1"/>
  <c r="F612" i="14" s="1"/>
  <c r="F613" i="14" s="1"/>
  <c r="F614" i="14" s="1"/>
  <c r="F615" i="14" s="1"/>
  <c r="M15" i="14"/>
  <c r="M10" i="14"/>
  <c r="AN125" i="3"/>
  <c r="AO124" i="3"/>
  <c r="AO125" i="3" s="1"/>
  <c r="AN124" i="3"/>
  <c r="AO122" i="3"/>
  <c r="AO123" i="3" s="1"/>
  <c r="AN122" i="3"/>
  <c r="AN123" i="3" s="1"/>
  <c r="AO119" i="3"/>
  <c r="AN119" i="3"/>
  <c r="AO118" i="3"/>
  <c r="AN118" i="3"/>
  <c r="AO116" i="3"/>
  <c r="AO117" i="3" s="1"/>
  <c r="AN116" i="3"/>
  <c r="AN117" i="3" s="1"/>
  <c r="AO113" i="3"/>
  <c r="AN113" i="3"/>
  <c r="AO112" i="3"/>
  <c r="AN112" i="3"/>
  <c r="AO110" i="3"/>
  <c r="AO111" i="3" s="1"/>
  <c r="AN110" i="3"/>
  <c r="AN111" i="3" s="1"/>
  <c r="AO107" i="3"/>
  <c r="AN107" i="3"/>
  <c r="AO106" i="3"/>
  <c r="AN106" i="3"/>
  <c r="AO104" i="3"/>
  <c r="AO105" i="3" s="1"/>
  <c r="AN104" i="3"/>
  <c r="AN105" i="3" s="1"/>
  <c r="AO100" i="3"/>
  <c r="AO101" i="3" s="1"/>
  <c r="AO98" i="3"/>
  <c r="AN98" i="3"/>
  <c r="AN100" i="3" s="1"/>
  <c r="U93" i="3"/>
  <c r="T93" i="3"/>
  <c r="U92" i="3"/>
  <c r="T92" i="3"/>
  <c r="U91" i="3"/>
  <c r="T91" i="3"/>
  <c r="U90" i="3"/>
  <c r="T90" i="3"/>
  <c r="U89" i="3"/>
  <c r="T89" i="3"/>
  <c r="U88" i="3"/>
  <c r="T88" i="3"/>
  <c r="U87" i="3"/>
  <c r="T87" i="3"/>
  <c r="U86" i="3"/>
  <c r="T86" i="3"/>
  <c r="T85" i="3"/>
  <c r="U84" i="3"/>
  <c r="T84" i="3"/>
  <c r="U83" i="3"/>
  <c r="T83" i="3"/>
  <c r="U82" i="3"/>
  <c r="T82" i="3"/>
  <c r="U81" i="3"/>
  <c r="T81" i="3"/>
  <c r="T80" i="3"/>
  <c r="U80" i="3"/>
  <c r="U79" i="3"/>
  <c r="T79" i="3"/>
  <c r="T78" i="3"/>
  <c r="U77" i="3"/>
  <c r="T77" i="3"/>
  <c r="U76" i="3"/>
  <c r="T76" i="3"/>
  <c r="T75" i="3"/>
  <c r="U74" i="3"/>
  <c r="T74" i="3"/>
  <c r="U73" i="3"/>
  <c r="T73" i="3"/>
  <c r="AQ41" i="3"/>
  <c r="AQ40" i="3"/>
  <c r="AQ39" i="3"/>
  <c r="AQ38" i="3"/>
  <c r="AQ37" i="3"/>
  <c r="AQ36" i="3"/>
  <c r="AQ35" i="3"/>
  <c r="AQ34" i="3"/>
  <c r="AQ33" i="3"/>
  <c r="AQ32" i="3"/>
  <c r="AQ29" i="3"/>
  <c r="AQ28" i="3"/>
  <c r="AQ27" i="3"/>
  <c r="AQ26" i="3"/>
  <c r="AQ25" i="3"/>
  <c r="AQ24" i="3"/>
  <c r="AQ23" i="3"/>
  <c r="AQ22" i="3"/>
  <c r="AP41" i="3"/>
  <c r="AP40" i="3"/>
  <c r="AP39" i="3"/>
  <c r="AP38" i="3"/>
  <c r="AP37" i="3"/>
  <c r="AP36" i="3"/>
  <c r="AP35" i="3"/>
  <c r="AP34" i="3"/>
  <c r="AP33" i="3"/>
  <c r="AP32" i="3"/>
  <c r="AP31" i="3"/>
  <c r="AP30" i="3"/>
  <c r="AP29" i="3"/>
  <c r="AP28" i="3"/>
  <c r="AP27" i="3"/>
  <c r="AP26" i="3"/>
  <c r="AP25" i="3"/>
  <c r="AP24" i="3"/>
  <c r="AP23" i="3"/>
  <c r="AP22" i="3"/>
  <c r="AP21" i="3"/>
  <c r="AP20" i="3"/>
  <c r="AQ19" i="3"/>
  <c r="AQ18" i="3"/>
  <c r="AQ17" i="3"/>
  <c r="AQ16" i="3"/>
  <c r="AQ15" i="3"/>
  <c r="AQ14" i="3"/>
  <c r="AQ13" i="3"/>
  <c r="AQ12" i="3"/>
  <c r="AP19" i="3"/>
  <c r="AP18" i="3"/>
  <c r="AP17" i="3"/>
  <c r="AP16" i="3"/>
  <c r="AP15" i="3"/>
  <c r="AP14" i="3"/>
  <c r="AP13" i="3"/>
  <c r="AP12" i="3"/>
  <c r="AP11" i="3"/>
  <c r="AP10" i="3"/>
  <c r="AP9" i="3"/>
  <c r="AP8" i="3"/>
  <c r="BO73" i="15" l="1"/>
  <c r="BO75" i="15" s="1"/>
  <c r="BM75" i="15"/>
  <c r="BP73" i="15"/>
  <c r="BP75" i="15" s="1"/>
  <c r="BN75" i="15"/>
  <c r="AV76" i="15" s="1"/>
  <c r="BN58" i="14"/>
  <c r="BP58" i="14" s="1"/>
  <c r="BM58" i="15"/>
  <c r="BO58" i="15" s="1"/>
  <c r="BM57" i="15"/>
  <c r="BN57" i="15"/>
  <c r="BN58" i="15"/>
  <c r="BP58" i="15" s="1"/>
  <c r="BN67" i="15"/>
  <c r="AV68" i="15" s="1"/>
  <c r="BP65" i="15"/>
  <c r="BP67" i="15" s="1"/>
  <c r="BM67" i="15"/>
  <c r="BO65" i="15"/>
  <c r="BO67" i="15" s="1"/>
  <c r="BP57" i="14"/>
  <c r="BO57" i="14"/>
  <c r="BO59" i="14" s="1"/>
  <c r="BM59" i="14"/>
  <c r="AV26" i="15"/>
  <c r="AV44" i="15"/>
  <c r="AT65" i="15"/>
  <c r="AT89" i="14"/>
  <c r="AT65" i="14"/>
  <c r="AW32" i="14"/>
  <c r="AW20" i="14"/>
  <c r="AV20" i="14" s="1"/>
  <c r="AV32" i="15"/>
  <c r="AT73" i="15"/>
  <c r="AT81" i="14"/>
  <c r="BC77" i="15"/>
  <c r="AY77" i="15"/>
  <c r="AW77" i="15"/>
  <c r="BA77" i="15"/>
  <c r="BA78" i="15" s="1"/>
  <c r="BC69" i="15"/>
  <c r="AY69" i="15"/>
  <c r="AY70" i="15" s="1"/>
  <c r="AW69" i="15"/>
  <c r="BA69" i="15"/>
  <c r="BA70" i="15" s="1"/>
  <c r="BD38" i="15"/>
  <c r="BD32" i="15"/>
  <c r="BE32" i="15" s="1"/>
  <c r="AZ32" i="15"/>
  <c r="BB32" i="15"/>
  <c r="AX32" i="15"/>
  <c r="AW44" i="14"/>
  <c r="AV44" i="14" s="1"/>
  <c r="BC77" i="14"/>
  <c r="AL73" i="14" s="1"/>
  <c r="BC69" i="14"/>
  <c r="AW69" i="14"/>
  <c r="AW70" i="14" s="1"/>
  <c r="BA69" i="14"/>
  <c r="BA70" i="14" s="1"/>
  <c r="AY69" i="14"/>
  <c r="AY70" i="14" s="1"/>
  <c r="AZ42" i="14"/>
  <c r="AZ36" i="14"/>
  <c r="AZ24" i="14"/>
  <c r="AZ18" i="14"/>
  <c r="AZ30" i="14"/>
  <c r="AT81" i="15"/>
  <c r="BC61" i="15"/>
  <c r="BC85" i="15"/>
  <c r="AW85" i="15"/>
  <c r="AW86" i="15" s="1"/>
  <c r="BA85" i="15"/>
  <c r="BA86" i="15" s="1"/>
  <c r="AY85" i="15"/>
  <c r="AY86" i="15" s="1"/>
  <c r="BC93" i="15"/>
  <c r="AY93" i="15"/>
  <c r="AY94" i="15" s="1"/>
  <c r="AW93" i="15"/>
  <c r="BA93" i="15"/>
  <c r="BA94" i="15" s="1"/>
  <c r="BD20" i="15"/>
  <c r="BE20" i="15" s="1"/>
  <c r="E123" i="18" s="1"/>
  <c r="BD26" i="15"/>
  <c r="BE26" i="15" s="1"/>
  <c r="AX26" i="15"/>
  <c r="BB26" i="15"/>
  <c r="AZ26" i="15"/>
  <c r="BD44" i="15"/>
  <c r="BE44" i="15" s="1"/>
  <c r="AX44" i="15"/>
  <c r="BB44" i="15"/>
  <c r="AZ44" i="15"/>
  <c r="AW38" i="14"/>
  <c r="AW26" i="14"/>
  <c r="BC61" i="14"/>
  <c r="BC93" i="14"/>
  <c r="AY93" i="14"/>
  <c r="AW93" i="14"/>
  <c r="BA93" i="14"/>
  <c r="BA94" i="14" s="1"/>
  <c r="BC85" i="14"/>
  <c r="AW85" i="14"/>
  <c r="BA85" i="14"/>
  <c r="BA86" i="14" s="1"/>
  <c r="AY85" i="14"/>
  <c r="BD85" i="15"/>
  <c r="BN81" i="15"/>
  <c r="BM82" i="15"/>
  <c r="BO82" i="15" s="1"/>
  <c r="BN82" i="15"/>
  <c r="BP82" i="15" s="1"/>
  <c r="BM81" i="15"/>
  <c r="AW65" i="14"/>
  <c r="AY370" i="15"/>
  <c r="AT370" i="15" s="1"/>
  <c r="AT369" i="15"/>
  <c r="AY323" i="15"/>
  <c r="AT323" i="15" s="1"/>
  <c r="AT322" i="15"/>
  <c r="Z89" i="14"/>
  <c r="AW370" i="15"/>
  <c r="AR370" i="15" s="1"/>
  <c r="AR369" i="15"/>
  <c r="AW323" i="15"/>
  <c r="AR323" i="15" s="1"/>
  <c r="AR322" i="15"/>
  <c r="CT322" i="3"/>
  <c r="CT368" i="3"/>
  <c r="CT369" i="3" s="1"/>
  <c r="CR322" i="3"/>
  <c r="CR368" i="3"/>
  <c r="CR369" i="3" s="1"/>
  <c r="CU377" i="3"/>
  <c r="CU380" i="3"/>
  <c r="CS377" i="3"/>
  <c r="CS380" i="3"/>
  <c r="CT323" i="3"/>
  <c r="CT417" i="3" s="1"/>
  <c r="CT418" i="3" s="1"/>
  <c r="CU325" i="3"/>
  <c r="CR323" i="3"/>
  <c r="CR417" i="3" s="1"/>
  <c r="CR418" i="3" s="1"/>
  <c r="CS325" i="3"/>
  <c r="AN101" i="3"/>
  <c r="AR331" i="14"/>
  <c r="AW332" i="14"/>
  <c r="AR332" i="14" s="1"/>
  <c r="AW322" i="14"/>
  <c r="AR322" i="14" s="1"/>
  <c r="AR321" i="14"/>
  <c r="AR323" i="14"/>
  <c r="AW324" i="14"/>
  <c r="AR324" i="14" s="1"/>
  <c r="AW326" i="14"/>
  <c r="AR326" i="14" s="1"/>
  <c r="AR325" i="14"/>
  <c r="AR327" i="14"/>
  <c r="AW328" i="14"/>
  <c r="AR328" i="14" s="1"/>
  <c r="AW418" i="15"/>
  <c r="AX420" i="15"/>
  <c r="AS428" i="15"/>
  <c r="AS425" i="15"/>
  <c r="AZ375" i="15"/>
  <c r="AY373" i="15"/>
  <c r="AX375" i="15"/>
  <c r="AW373" i="15"/>
  <c r="AU383" i="15"/>
  <c r="AU380" i="15"/>
  <c r="AS383" i="15"/>
  <c r="AS380" i="15"/>
  <c r="AU428" i="15"/>
  <c r="AU425" i="15"/>
  <c r="AT324" i="15"/>
  <c r="AY325" i="15"/>
  <c r="AT325" i="15" s="1"/>
  <c r="AW325" i="15"/>
  <c r="AR325" i="15" s="1"/>
  <c r="AR324" i="15"/>
  <c r="AU334" i="15"/>
  <c r="AU331" i="15"/>
  <c r="AS334" i="15"/>
  <c r="AS331" i="15"/>
  <c r="AY418" i="15"/>
  <c r="AZ420" i="15"/>
  <c r="AY372" i="15"/>
  <c r="AT372" i="15" s="1"/>
  <c r="AT371" i="15"/>
  <c r="AW372" i="15"/>
  <c r="AR372" i="15" s="1"/>
  <c r="AR371" i="15"/>
  <c r="AY326" i="15"/>
  <c r="AZ328" i="15"/>
  <c r="AW326" i="15"/>
  <c r="AX328" i="15"/>
  <c r="AW417" i="14"/>
  <c r="AX419" i="14"/>
  <c r="AY417" i="14"/>
  <c r="AZ419" i="14"/>
  <c r="AW370" i="14"/>
  <c r="AX372" i="14"/>
  <c r="AY370" i="14"/>
  <c r="AY371" i="14" s="1"/>
  <c r="AT371" i="14" s="1"/>
  <c r="AZ372" i="14"/>
  <c r="AT331" i="14"/>
  <c r="AY332" i="14"/>
  <c r="AT332" i="14" s="1"/>
  <c r="AT325" i="14"/>
  <c r="AY326" i="14"/>
  <c r="AT326" i="14" s="1"/>
  <c r="AT369" i="14"/>
  <c r="AT368" i="14"/>
  <c r="AT321" i="14"/>
  <c r="AY322" i="14"/>
  <c r="AT322" i="14" s="1"/>
  <c r="AZ330" i="14"/>
  <c r="AZ333" i="14"/>
  <c r="AY333" i="14" s="1"/>
  <c r="AX330" i="14"/>
  <c r="AX333" i="14"/>
  <c r="AW333" i="14" s="1"/>
  <c r="AL57" i="14"/>
  <c r="AS325" i="14"/>
  <c r="AU325" i="14"/>
  <c r="AS372" i="14"/>
  <c r="AU372" i="14"/>
  <c r="AS417" i="14"/>
  <c r="AU417" i="14"/>
  <c r="BN59" i="14" l="1"/>
  <c r="AV60" i="14" s="1"/>
  <c r="BP59" i="14"/>
  <c r="BO57" i="15"/>
  <c r="BO59" i="15" s="1"/>
  <c r="BM59" i="15"/>
  <c r="BN59" i="15"/>
  <c r="AV60" i="15" s="1"/>
  <c r="BP57" i="15"/>
  <c r="BP59" i="15" s="1"/>
  <c r="BD86" i="15"/>
  <c r="M123" i="18"/>
  <c r="AY418" i="14"/>
  <c r="AT418" i="14" s="1"/>
  <c r="AT417" i="14"/>
  <c r="BE38" i="15"/>
  <c r="H123" i="18" s="1"/>
  <c r="AK33" i="15"/>
  <c r="AV32" i="14"/>
  <c r="BD20" i="14"/>
  <c r="BE20" i="14" s="1"/>
  <c r="E98" i="18" s="1"/>
  <c r="BD38" i="14"/>
  <c r="BE38" i="14" s="1"/>
  <c r="H98" i="18" s="1"/>
  <c r="AZ38" i="14"/>
  <c r="BB38" i="14"/>
  <c r="AX38" i="14"/>
  <c r="AW70" i="15"/>
  <c r="BC70" i="15"/>
  <c r="BD69" i="15"/>
  <c r="BD70" i="15" s="1"/>
  <c r="AW78" i="15"/>
  <c r="BC78" i="15"/>
  <c r="BD77" i="15"/>
  <c r="BD78" i="15" s="1"/>
  <c r="BC86" i="14"/>
  <c r="BD85" i="14"/>
  <c r="AW94" i="14"/>
  <c r="BC94" i="14"/>
  <c r="BD93" i="14"/>
  <c r="BD94" i="14" s="1"/>
  <c r="BC62" i="14"/>
  <c r="AL58" i="14" s="1"/>
  <c r="BD61" i="14"/>
  <c r="AW94" i="15"/>
  <c r="BC94" i="15"/>
  <c r="BD93" i="15"/>
  <c r="BD94" i="15" s="1"/>
  <c r="BC86" i="15"/>
  <c r="AL82" i="15" s="1"/>
  <c r="AL81" i="15"/>
  <c r="BC62" i="15"/>
  <c r="BD61" i="15"/>
  <c r="AY86" i="14"/>
  <c r="AW86" i="14"/>
  <c r="AY94" i="14"/>
  <c r="AV26" i="14"/>
  <c r="BD32" i="14"/>
  <c r="BE32" i="14" s="1"/>
  <c r="AX32" i="14"/>
  <c r="BB32" i="14"/>
  <c r="AZ32" i="14"/>
  <c r="BD26" i="14"/>
  <c r="BE26" i="14" s="1"/>
  <c r="AZ26" i="14"/>
  <c r="AX26" i="14"/>
  <c r="BB26" i="14"/>
  <c r="BD44" i="14"/>
  <c r="BE44" i="14" s="1"/>
  <c r="AZ44" i="14"/>
  <c r="AX44" i="14"/>
  <c r="BB44" i="14"/>
  <c r="BC70" i="14"/>
  <c r="AL66" i="14" s="1"/>
  <c r="AL65" i="14"/>
  <c r="BC78" i="14"/>
  <c r="AL74" i="14" s="1"/>
  <c r="BD77" i="14"/>
  <c r="BD78" i="14" s="1"/>
  <c r="AY78" i="15"/>
  <c r="AV38" i="14"/>
  <c r="BN83" i="15"/>
  <c r="AV84" i="15" s="1"/>
  <c r="BP81" i="15"/>
  <c r="BM83" i="15"/>
  <c r="BO81" i="15"/>
  <c r="BD69" i="14"/>
  <c r="BD70" i="14" s="1"/>
  <c r="BM66" i="14"/>
  <c r="BO66" i="14" s="1"/>
  <c r="BN66" i="14"/>
  <c r="BP66" i="14" s="1"/>
  <c r="BN65" i="14"/>
  <c r="BM65" i="14"/>
  <c r="U39" i="15"/>
  <c r="CR324" i="3"/>
  <c r="CR370" i="3"/>
  <c r="CR371" i="3" s="1"/>
  <c r="CT324" i="3"/>
  <c r="CT370" i="3"/>
  <c r="CT371" i="3" s="1"/>
  <c r="CU379" i="3"/>
  <c r="CU382" i="3"/>
  <c r="CS379" i="3"/>
  <c r="CS382" i="3"/>
  <c r="CR325" i="3"/>
  <c r="CR419" i="3" s="1"/>
  <c r="CR420" i="3" s="1"/>
  <c r="CS327" i="3"/>
  <c r="CT325" i="3"/>
  <c r="CT419" i="3" s="1"/>
  <c r="CT420" i="3" s="1"/>
  <c r="CU327" i="3"/>
  <c r="AW334" i="14"/>
  <c r="AR334" i="14" s="1"/>
  <c r="AR333" i="14"/>
  <c r="AT370" i="14"/>
  <c r="AW328" i="15"/>
  <c r="AX330" i="15"/>
  <c r="AY328" i="15"/>
  <c r="AZ330" i="15"/>
  <c r="AY420" i="15"/>
  <c r="AZ422" i="15"/>
  <c r="AK15" i="15"/>
  <c r="AS336" i="15"/>
  <c r="AS333" i="15"/>
  <c r="AU336" i="15"/>
  <c r="AU333" i="15"/>
  <c r="AU430" i="15"/>
  <c r="AU427" i="15"/>
  <c r="AS385" i="15"/>
  <c r="AS382" i="15"/>
  <c r="AU385" i="15"/>
  <c r="AU382" i="15"/>
  <c r="AX377" i="15"/>
  <c r="AW375" i="15"/>
  <c r="AZ377" i="15"/>
  <c r="AY375" i="15"/>
  <c r="AS430" i="15"/>
  <c r="AS427" i="15"/>
  <c r="AW419" i="15"/>
  <c r="AR419" i="15" s="1"/>
  <c r="AR418" i="15"/>
  <c r="AL58" i="15"/>
  <c r="AL57" i="15"/>
  <c r="AW327" i="15"/>
  <c r="AR327" i="15" s="1"/>
  <c r="AR326" i="15"/>
  <c r="AT326" i="15"/>
  <c r="AY327" i="15"/>
  <c r="AT327" i="15" s="1"/>
  <c r="AT418" i="15"/>
  <c r="AY419" i="15"/>
  <c r="AT419" i="15" s="1"/>
  <c r="AW374" i="15"/>
  <c r="AR374" i="15" s="1"/>
  <c r="AR373" i="15"/>
  <c r="AY374" i="15"/>
  <c r="AT374" i="15" s="1"/>
  <c r="AT373" i="15"/>
  <c r="AW420" i="15"/>
  <c r="AX422" i="15"/>
  <c r="AW418" i="14"/>
  <c r="AR418" i="14" s="1"/>
  <c r="AR417" i="14"/>
  <c r="AY419" i="14"/>
  <c r="AZ421" i="14"/>
  <c r="AW419" i="14"/>
  <c r="AX421" i="14"/>
  <c r="AW371" i="14"/>
  <c r="AR371" i="14" s="1"/>
  <c r="AR370" i="14"/>
  <c r="AY372" i="14"/>
  <c r="AZ374" i="14"/>
  <c r="AW372" i="14"/>
  <c r="AX374" i="14"/>
  <c r="AT333" i="14"/>
  <c r="AY334" i="14"/>
  <c r="AT334" i="14" s="1"/>
  <c r="AZ332" i="14"/>
  <c r="AZ335" i="14"/>
  <c r="AY335" i="14" s="1"/>
  <c r="AX332" i="14"/>
  <c r="AX335" i="14"/>
  <c r="AW335" i="14" s="1"/>
  <c r="AK16" i="14"/>
  <c r="AS419" i="14"/>
  <c r="AU419" i="14"/>
  <c r="AU374" i="14"/>
  <c r="AU376" i="14" s="1"/>
  <c r="AU378" i="14" s="1"/>
  <c r="AS374" i="14"/>
  <c r="AS376" i="14" s="1"/>
  <c r="AS378" i="14" s="1"/>
  <c r="AU327" i="14"/>
  <c r="AS327" i="14"/>
  <c r="BD62" i="14" l="1"/>
  <c r="J98" i="18"/>
  <c r="BD62" i="15"/>
  <c r="J123" i="18"/>
  <c r="BD86" i="14"/>
  <c r="M98" i="18"/>
  <c r="AY420" i="14"/>
  <c r="AT420" i="14" s="1"/>
  <c r="AT419" i="14"/>
  <c r="BO83" i="15"/>
  <c r="BP83" i="15"/>
  <c r="BO65" i="14"/>
  <c r="BM67" i="14"/>
  <c r="BN67" i="14"/>
  <c r="AV68" i="14" s="1"/>
  <c r="BP65" i="14"/>
  <c r="CT326" i="3"/>
  <c r="CT372" i="3"/>
  <c r="CT373" i="3" s="1"/>
  <c r="CR326" i="3"/>
  <c r="CR372" i="3"/>
  <c r="CR373" i="3" s="1"/>
  <c r="CU381" i="3"/>
  <c r="CU384" i="3"/>
  <c r="CS381" i="3"/>
  <c r="CS384" i="3"/>
  <c r="CT327" i="3"/>
  <c r="CT421" i="3" s="1"/>
  <c r="CT422" i="3" s="1"/>
  <c r="CU329" i="3"/>
  <c r="CU326" i="3"/>
  <c r="CR327" i="3"/>
  <c r="CR421" i="3" s="1"/>
  <c r="CR422" i="3" s="1"/>
  <c r="CS329" i="3"/>
  <c r="CS326" i="3"/>
  <c r="AK15" i="14"/>
  <c r="U21" i="15"/>
  <c r="AR335" i="14"/>
  <c r="AW336" i="14"/>
  <c r="AR336" i="14" s="1"/>
  <c r="AW421" i="15"/>
  <c r="AR421" i="15" s="1"/>
  <c r="AR420" i="15"/>
  <c r="AS432" i="15"/>
  <c r="AS429" i="15"/>
  <c r="AZ379" i="15"/>
  <c r="AZ376" i="15"/>
  <c r="AY377" i="15"/>
  <c r="AX379" i="15"/>
  <c r="AX376" i="15"/>
  <c r="AW377" i="15"/>
  <c r="AU384" i="15"/>
  <c r="AU387" i="15"/>
  <c r="AS384" i="15"/>
  <c r="AS387" i="15"/>
  <c r="AU432" i="15"/>
  <c r="AU429" i="15"/>
  <c r="AU338" i="15"/>
  <c r="AU335" i="15"/>
  <c r="AS338" i="15"/>
  <c r="AS335" i="15"/>
  <c r="AT420" i="15"/>
  <c r="AY421" i="15"/>
  <c r="AT421" i="15" s="1"/>
  <c r="AY329" i="15"/>
  <c r="AT329" i="15" s="1"/>
  <c r="AT328" i="15"/>
  <c r="AW329" i="15"/>
  <c r="AR329" i="15" s="1"/>
  <c r="AR328" i="15"/>
  <c r="AW422" i="15"/>
  <c r="AX424" i="15"/>
  <c r="AY376" i="15"/>
  <c r="AT376" i="15" s="1"/>
  <c r="AT375" i="15"/>
  <c r="AW376" i="15"/>
  <c r="AR376" i="15" s="1"/>
  <c r="AR375" i="15"/>
  <c r="AY422" i="15"/>
  <c r="AZ424" i="15"/>
  <c r="AY330" i="15"/>
  <c r="AZ332" i="15"/>
  <c r="AZ329" i="15"/>
  <c r="AW330" i="15"/>
  <c r="AX332" i="15"/>
  <c r="AX329" i="15"/>
  <c r="AW420" i="14"/>
  <c r="AR420" i="14" s="1"/>
  <c r="AR419" i="14"/>
  <c r="AW421" i="14"/>
  <c r="AX423" i="14"/>
  <c r="AY421" i="14"/>
  <c r="AZ423" i="14"/>
  <c r="AW373" i="14"/>
  <c r="AR373" i="14" s="1"/>
  <c r="AR372" i="14"/>
  <c r="AY373" i="14"/>
  <c r="AT373" i="14" s="1"/>
  <c r="AT372" i="14"/>
  <c r="AW374" i="14"/>
  <c r="AX376" i="14"/>
  <c r="AY374" i="14"/>
  <c r="AZ376" i="14"/>
  <c r="AK28" i="14"/>
  <c r="AK27" i="14"/>
  <c r="AK22" i="14"/>
  <c r="AK21" i="14"/>
  <c r="AK34" i="14"/>
  <c r="AK33" i="14"/>
  <c r="AU380" i="14"/>
  <c r="AU377" i="14"/>
  <c r="AT335" i="14"/>
  <c r="AY336" i="14"/>
  <c r="AT336" i="14" s="1"/>
  <c r="AS380" i="14"/>
  <c r="AS377" i="14"/>
  <c r="AZ334" i="14"/>
  <c r="AZ337" i="14"/>
  <c r="AY337" i="14" s="1"/>
  <c r="AX334" i="14"/>
  <c r="AX337" i="14"/>
  <c r="AW337" i="14" s="1"/>
  <c r="AS329" i="14"/>
  <c r="AU329" i="14"/>
  <c r="AU421" i="14"/>
  <c r="AS421" i="14"/>
  <c r="CS280" i="3"/>
  <c r="CS279" i="3"/>
  <c r="AY422" i="14" l="1"/>
  <c r="AT422" i="14" s="1"/>
  <c r="AT421" i="14"/>
  <c r="AB21" i="14"/>
  <c r="BP67" i="14"/>
  <c r="BO67" i="14"/>
  <c r="S39" i="15"/>
  <c r="P39" i="15" s="1"/>
  <c r="AI39" i="15"/>
  <c r="CT328" i="3"/>
  <c r="CT374" i="3"/>
  <c r="CT375" i="3" s="1"/>
  <c r="CR328" i="3"/>
  <c r="CR374" i="3"/>
  <c r="CR375" i="3" s="1"/>
  <c r="CU383" i="3"/>
  <c r="CU386" i="3"/>
  <c r="CS383" i="3"/>
  <c r="CS386" i="3"/>
  <c r="CR329" i="3"/>
  <c r="CR423" i="3" s="1"/>
  <c r="CR424" i="3" s="1"/>
  <c r="CS331" i="3"/>
  <c r="CS328" i="3"/>
  <c r="CT329" i="3"/>
  <c r="CT423" i="3" s="1"/>
  <c r="CT424" i="3" s="1"/>
  <c r="CU331" i="3"/>
  <c r="CU328" i="3"/>
  <c r="AW338" i="14"/>
  <c r="AR338" i="14" s="1"/>
  <c r="AR337" i="14"/>
  <c r="AW331" i="15"/>
  <c r="AR331" i="15" s="1"/>
  <c r="AR330" i="15"/>
  <c r="AY332" i="15"/>
  <c r="AZ334" i="15"/>
  <c r="AZ331" i="15"/>
  <c r="AY424" i="15"/>
  <c r="AZ426" i="15"/>
  <c r="AZ423" i="15"/>
  <c r="AW423" i="15"/>
  <c r="AR423" i="15" s="1"/>
  <c r="AR422" i="15"/>
  <c r="AS340" i="15"/>
  <c r="AS337" i="15"/>
  <c r="AU340" i="15"/>
  <c r="AU337" i="15"/>
  <c r="AU434" i="15"/>
  <c r="AU431" i="15"/>
  <c r="AY378" i="15"/>
  <c r="AT378" i="15" s="1"/>
  <c r="AT377" i="15"/>
  <c r="AZ381" i="15"/>
  <c r="AZ378" i="15"/>
  <c r="AY379" i="15"/>
  <c r="AS434" i="15"/>
  <c r="AS431" i="15"/>
  <c r="AW332" i="15"/>
  <c r="AX334" i="15"/>
  <c r="AX331" i="15"/>
  <c r="AY331" i="15"/>
  <c r="AT331" i="15" s="1"/>
  <c r="AT330" i="15"/>
  <c r="AY423" i="15"/>
  <c r="AT423" i="15" s="1"/>
  <c r="AT422" i="15"/>
  <c r="AW424" i="15"/>
  <c r="AX426" i="15"/>
  <c r="AX423" i="15"/>
  <c r="AS386" i="15"/>
  <c r="AS389" i="15"/>
  <c r="AU386" i="15"/>
  <c r="AU389" i="15"/>
  <c r="AW378" i="15"/>
  <c r="AR378" i="15" s="1"/>
  <c r="AR377" i="15"/>
  <c r="AX381" i="15"/>
  <c r="AX378" i="15"/>
  <c r="AW379" i="15"/>
  <c r="AW422" i="14"/>
  <c r="AR422" i="14" s="1"/>
  <c r="AR421" i="14"/>
  <c r="AY423" i="14"/>
  <c r="AZ425" i="14"/>
  <c r="AZ422" i="14"/>
  <c r="AW423" i="14"/>
  <c r="AX425" i="14"/>
  <c r="AX422" i="14"/>
  <c r="AY375" i="14"/>
  <c r="AT375" i="14" s="1"/>
  <c r="AT374" i="14"/>
  <c r="AW375" i="14"/>
  <c r="AR375" i="14" s="1"/>
  <c r="AR374" i="14"/>
  <c r="AY376" i="14"/>
  <c r="AZ378" i="14"/>
  <c r="AZ375" i="14"/>
  <c r="AW376" i="14"/>
  <c r="AX378" i="14"/>
  <c r="AX375" i="14"/>
  <c r="S39" i="14"/>
  <c r="AT337" i="14"/>
  <c r="AY338" i="14"/>
  <c r="AT338" i="14" s="1"/>
  <c r="AS382" i="14"/>
  <c r="AS379" i="14"/>
  <c r="AU382" i="14"/>
  <c r="AU379" i="14"/>
  <c r="AZ336" i="14"/>
  <c r="AZ339" i="14"/>
  <c r="AY339" i="14" s="1"/>
  <c r="AX336" i="14"/>
  <c r="AX339" i="14"/>
  <c r="AW339" i="14" s="1"/>
  <c r="AS423" i="14"/>
  <c r="AU423" i="14"/>
  <c r="AU331" i="14"/>
  <c r="AU328" i="14"/>
  <c r="AS331" i="14"/>
  <c r="AS328" i="14"/>
  <c r="CU413" i="3"/>
  <c r="CS413" i="3"/>
  <c r="CY307" i="3"/>
  <c r="CY306" i="3" s="1"/>
  <c r="DD306" i="3" s="1"/>
  <c r="DB304" i="3"/>
  <c r="DB303" i="3" s="1"/>
  <c r="DB302" i="3" s="1"/>
  <c r="CZ303" i="3"/>
  <c r="CZ302" i="3" s="1"/>
  <c r="CY304" i="3"/>
  <c r="CY303" i="3" s="1"/>
  <c r="CY302" i="3" s="1"/>
  <c r="DD302" i="3" s="1"/>
  <c r="EP302" i="3"/>
  <c r="EP303" i="3" s="1"/>
  <c r="EG301" i="3"/>
  <c r="EF301" i="3"/>
  <c r="EE301" i="3"/>
  <c r="ED301" i="3"/>
  <c r="EC301" i="3"/>
  <c r="EB301" i="3"/>
  <c r="EA301" i="3"/>
  <c r="DZ301" i="3"/>
  <c r="DY301" i="3"/>
  <c r="DX301" i="3"/>
  <c r="DW301" i="3"/>
  <c r="DV301" i="3"/>
  <c r="DU301" i="3"/>
  <c r="DT301" i="3"/>
  <c r="DS301" i="3"/>
  <c r="DR301" i="3"/>
  <c r="DQ301" i="3"/>
  <c r="DP301" i="3"/>
  <c r="DO301" i="3"/>
  <c r="DN301" i="3"/>
  <c r="DM301" i="3"/>
  <c r="DL301" i="3"/>
  <c r="DK301" i="3"/>
  <c r="DJ301" i="3"/>
  <c r="DI301" i="3"/>
  <c r="DH301" i="3"/>
  <c r="DG301" i="3"/>
  <c r="DF301" i="3"/>
  <c r="DE301" i="3"/>
  <c r="DD301" i="3"/>
  <c r="DC301" i="3"/>
  <c r="DB301" i="3"/>
  <c r="DA301" i="3"/>
  <c r="CZ301" i="3"/>
  <c r="CY301" i="3"/>
  <c r="FH300" i="3"/>
  <c r="FG300" i="3"/>
  <c r="FF300" i="3"/>
  <c r="FE300" i="3"/>
  <c r="FD300" i="3"/>
  <c r="FC300" i="3"/>
  <c r="FB300" i="3"/>
  <c r="FA300" i="3"/>
  <c r="EZ300" i="3"/>
  <c r="EY300" i="3"/>
  <c r="EU300" i="3"/>
  <c r="ER300" i="3"/>
  <c r="EQ300" i="3"/>
  <c r="EM300" i="3"/>
  <c r="EL300" i="3"/>
  <c r="EI300" i="3"/>
  <c r="EH300" i="3"/>
  <c r="EG300" i="3"/>
  <c r="DA300" i="3"/>
  <c r="CZ300" i="3"/>
  <c r="CY300" i="3"/>
  <c r="FH299" i="3"/>
  <c r="FG299" i="3"/>
  <c r="FF299" i="3"/>
  <c r="FE299" i="3"/>
  <c r="FD299" i="3"/>
  <c r="FC299" i="3"/>
  <c r="FB299" i="3"/>
  <c r="FA299" i="3"/>
  <c r="EZ299" i="3"/>
  <c r="EY299" i="3"/>
  <c r="EX299" i="3"/>
  <c r="EW299" i="3"/>
  <c r="EV299" i="3"/>
  <c r="EU299" i="3"/>
  <c r="ET299" i="3"/>
  <c r="ES299" i="3"/>
  <c r="ER299" i="3"/>
  <c r="EQ299" i="3"/>
  <c r="EP299" i="3"/>
  <c r="EO299" i="3"/>
  <c r="EM299" i="3"/>
  <c r="EL299" i="3"/>
  <c r="EK299" i="3"/>
  <c r="EJ299" i="3"/>
  <c r="EI299" i="3"/>
  <c r="EH299" i="3"/>
  <c r="EG299" i="3"/>
  <c r="EF299" i="3"/>
  <c r="EE299" i="3"/>
  <c r="ED299" i="3"/>
  <c r="EC299" i="3"/>
  <c r="DZ299" i="3"/>
  <c r="DY299" i="3"/>
  <c r="DX299" i="3"/>
  <c r="DW299" i="3"/>
  <c r="DV299" i="3"/>
  <c r="DU299" i="3"/>
  <c r="DT299" i="3"/>
  <c r="DS299" i="3"/>
  <c r="DQ299" i="3"/>
  <c r="DO299" i="3"/>
  <c r="DN299" i="3"/>
  <c r="DM299" i="3"/>
  <c r="DL299" i="3"/>
  <c r="DK299" i="3"/>
  <c r="DJ299" i="3"/>
  <c r="DI299" i="3"/>
  <c r="DH299" i="3"/>
  <c r="DF299" i="3"/>
  <c r="DE299" i="3"/>
  <c r="EP278" i="3"/>
  <c r="EP300" i="3" s="1"/>
  <c r="EO278" i="3"/>
  <c r="EO300" i="3" s="1"/>
  <c r="EN278" i="3"/>
  <c r="EN300" i="3" s="1"/>
  <c r="EK278" i="3"/>
  <c r="EK300" i="3" s="1"/>
  <c r="EJ278" i="3"/>
  <c r="EJ300" i="3" s="1"/>
  <c r="EF278" i="3"/>
  <c r="EF300" i="3" s="1"/>
  <c r="EE278" i="3"/>
  <c r="EE300" i="3" s="1"/>
  <c r="ED278" i="3"/>
  <c r="ED300" i="3" s="1"/>
  <c r="EC278" i="3"/>
  <c r="EC300" i="3" s="1"/>
  <c r="EB278" i="3"/>
  <c r="EB300" i="3" s="1"/>
  <c r="EA278" i="3"/>
  <c r="EA300" i="3" s="1"/>
  <c r="DZ278" i="3"/>
  <c r="DZ300" i="3" s="1"/>
  <c r="DY278" i="3"/>
  <c r="DY300" i="3" s="1"/>
  <c r="DX278" i="3"/>
  <c r="DX300" i="3" s="1"/>
  <c r="DW278" i="3"/>
  <c r="DW300" i="3" s="1"/>
  <c r="DV278" i="3"/>
  <c r="DV300" i="3" s="1"/>
  <c r="DU278" i="3"/>
  <c r="DU300" i="3" s="1"/>
  <c r="DT278" i="3"/>
  <c r="DT300" i="3" s="1"/>
  <c r="DS278" i="3"/>
  <c r="DS300" i="3" s="1"/>
  <c r="DR278" i="3"/>
  <c r="DR300" i="3" s="1"/>
  <c r="DQ278" i="3"/>
  <c r="DQ300" i="3" s="1"/>
  <c r="DP278" i="3"/>
  <c r="DP300" i="3" s="1"/>
  <c r="DO278" i="3"/>
  <c r="DO300" i="3" s="1"/>
  <c r="DN278" i="3"/>
  <c r="DN300" i="3" s="1"/>
  <c r="DM278" i="3"/>
  <c r="DM300" i="3" s="1"/>
  <c r="DL278" i="3"/>
  <c r="DL300" i="3" s="1"/>
  <c r="DK278" i="3"/>
  <c r="DK300" i="3" s="1"/>
  <c r="DJ278" i="3"/>
  <c r="DJ300" i="3" s="1"/>
  <c r="DI278" i="3"/>
  <c r="DI300" i="3" s="1"/>
  <c r="DH278" i="3"/>
  <c r="DH300" i="3" s="1"/>
  <c r="DG278" i="3"/>
  <c r="DG300" i="3" s="1"/>
  <c r="DF278" i="3"/>
  <c r="DF300" i="3" s="1"/>
  <c r="DE278" i="3"/>
  <c r="ES278" i="3" s="1"/>
  <c r="ES300" i="3" s="1"/>
  <c r="DD278" i="3"/>
  <c r="DD300" i="3" s="1"/>
  <c r="DC278" i="3"/>
  <c r="DC300" i="3" s="1"/>
  <c r="DB278" i="3"/>
  <c r="DB300" i="3" s="1"/>
  <c r="EN277" i="3"/>
  <c r="EN299" i="3" s="1"/>
  <c r="EB277" i="3"/>
  <c r="EB299" i="3" s="1"/>
  <c r="EA277" i="3"/>
  <c r="EA299" i="3" s="1"/>
  <c r="DR277" i="3"/>
  <c r="DR299" i="3" s="1"/>
  <c r="DP277" i="3"/>
  <c r="DP299" i="3" s="1"/>
  <c r="DG277" i="3"/>
  <c r="DG299" i="3" s="1"/>
  <c r="DD277" i="3"/>
  <c r="DD299" i="3" s="1"/>
  <c r="DC277" i="3"/>
  <c r="DC299" i="3" s="1"/>
  <c r="DB277" i="3"/>
  <c r="DB299" i="3" s="1"/>
  <c r="EG276" i="3"/>
  <c r="EF276" i="3"/>
  <c r="EE276" i="3"/>
  <c r="ED276" i="3"/>
  <c r="EC276" i="3"/>
  <c r="EB276" i="3"/>
  <c r="EA276" i="3"/>
  <c r="DZ276" i="3"/>
  <c r="DY276" i="3"/>
  <c r="DX276" i="3"/>
  <c r="DW276" i="3"/>
  <c r="DV276" i="3"/>
  <c r="DU276" i="3"/>
  <c r="DT276" i="3"/>
  <c r="DS276" i="3"/>
  <c r="DR276" i="3"/>
  <c r="DQ276" i="3"/>
  <c r="DP276" i="3"/>
  <c r="DO276" i="3"/>
  <c r="DN276" i="3"/>
  <c r="DM276" i="3"/>
  <c r="DL276" i="3"/>
  <c r="DK276" i="3"/>
  <c r="DJ276" i="3"/>
  <c r="DI276" i="3"/>
  <c r="DH276" i="3"/>
  <c r="DG276" i="3"/>
  <c r="DF276" i="3"/>
  <c r="DE276" i="3"/>
  <c r="DD276" i="3"/>
  <c r="DC276" i="3"/>
  <c r="DB276" i="3"/>
  <c r="DA276" i="3"/>
  <c r="CZ276" i="3"/>
  <c r="FI127" i="3"/>
  <c r="FH127" i="3"/>
  <c r="FG127" i="3"/>
  <c r="FF127" i="3"/>
  <c r="FE127" i="3"/>
  <c r="FD127" i="3"/>
  <c r="FC127" i="3"/>
  <c r="FB127" i="3"/>
  <c r="FA127" i="3"/>
  <c r="EZ127" i="3"/>
  <c r="EY127" i="3"/>
  <c r="EX127" i="3"/>
  <c r="EW127" i="3"/>
  <c r="EV127" i="3"/>
  <c r="EU127" i="3"/>
  <c r="ET127" i="3"/>
  <c r="ES127" i="3"/>
  <c r="ER127" i="3"/>
  <c r="EQ127" i="3"/>
  <c r="EP127" i="3"/>
  <c r="EO127" i="3"/>
  <c r="EN127" i="3"/>
  <c r="EM127" i="3"/>
  <c r="EL127" i="3"/>
  <c r="EK127" i="3"/>
  <c r="EJ127" i="3"/>
  <c r="EG127" i="3"/>
  <c r="ED127" i="3"/>
  <c r="EA127" i="3"/>
  <c r="DU127" i="3"/>
  <c r="DR127" i="3"/>
  <c r="DQ127" i="3"/>
  <c r="DP127" i="3"/>
  <c r="DO127" i="3"/>
  <c r="DI127" i="3"/>
  <c r="FI126" i="3"/>
  <c r="FH126" i="3"/>
  <c r="FG126" i="3"/>
  <c r="FF126" i="3"/>
  <c r="FE126" i="3"/>
  <c r="FD126" i="3"/>
  <c r="FC126" i="3"/>
  <c r="FB126" i="3"/>
  <c r="FA126" i="3"/>
  <c r="EZ126" i="3"/>
  <c r="EY126" i="3"/>
  <c r="EX126" i="3"/>
  <c r="EW126" i="3"/>
  <c r="EV126" i="3"/>
  <c r="EU126" i="3"/>
  <c r="ET126" i="3"/>
  <c r="ES126" i="3"/>
  <c r="ER126" i="3"/>
  <c r="EQ126" i="3"/>
  <c r="EP126" i="3"/>
  <c r="EO126" i="3"/>
  <c r="EN126" i="3"/>
  <c r="EM126" i="3"/>
  <c r="EL126" i="3"/>
  <c r="EK126" i="3"/>
  <c r="EJ126" i="3"/>
  <c r="EG126" i="3"/>
  <c r="ED126" i="3"/>
  <c r="EA126" i="3"/>
  <c r="DU126" i="3"/>
  <c r="DR126" i="3"/>
  <c r="DQ126" i="3"/>
  <c r="DP126" i="3"/>
  <c r="DO126" i="3"/>
  <c r="DI126" i="3"/>
  <c r="FG125" i="3"/>
  <c r="FC125" i="3"/>
  <c r="ER125" i="3"/>
  <c r="DZ125" i="3"/>
  <c r="DT125" i="3"/>
  <c r="P125" i="3"/>
  <c r="FG124" i="3"/>
  <c r="FC124" i="3"/>
  <c r="ER124" i="3"/>
  <c r="EQ124" i="3"/>
  <c r="EQ125" i="3" s="1"/>
  <c r="DZ124" i="3"/>
  <c r="DT124" i="3"/>
  <c r="CW124" i="3"/>
  <c r="P124" i="3"/>
  <c r="Q124" i="3" s="1"/>
  <c r="O124" i="3"/>
  <c r="DV125" i="3" s="1"/>
  <c r="E124" i="3"/>
  <c r="FG123" i="3"/>
  <c r="FC123" i="3"/>
  <c r="DZ123" i="3"/>
  <c r="DW123" i="3"/>
  <c r="DX123" i="3" s="1"/>
  <c r="DV123" i="3"/>
  <c r="DT123" i="3"/>
  <c r="AK123" i="3"/>
  <c r="P123" i="3"/>
  <c r="GD122" i="3"/>
  <c r="FG122" i="3"/>
  <c r="FC122" i="3"/>
  <c r="EQ122" i="3"/>
  <c r="EQ123" i="3" s="1"/>
  <c r="DZ122" i="3"/>
  <c r="DW122" i="3"/>
  <c r="DX122" i="3" s="1"/>
  <c r="DV122" i="3"/>
  <c r="EV122" i="3" s="1"/>
  <c r="DT122" i="3"/>
  <c r="DC122" i="3"/>
  <c r="CX122" i="3"/>
  <c r="AK122" i="3"/>
  <c r="Q122" i="3"/>
  <c r="F122" i="3"/>
  <c r="EK123" i="3" s="1"/>
  <c r="FI121" i="3"/>
  <c r="FH121" i="3"/>
  <c r="FG121" i="3"/>
  <c r="FF121" i="3"/>
  <c r="FE121" i="3"/>
  <c r="FD121" i="3"/>
  <c r="FC121" i="3"/>
  <c r="FB121" i="3"/>
  <c r="FA121" i="3"/>
  <c r="EZ121" i="3"/>
  <c r="EY121" i="3"/>
  <c r="EX121" i="3"/>
  <c r="EW121" i="3"/>
  <c r="EV121" i="3"/>
  <c r="ES121" i="3"/>
  <c r="ER121" i="3"/>
  <c r="EQ121" i="3"/>
  <c r="EP121" i="3"/>
  <c r="EO121" i="3"/>
  <c r="EN121" i="3"/>
  <c r="EM121" i="3"/>
  <c r="EL121" i="3"/>
  <c r="EK121" i="3"/>
  <c r="EJ121" i="3"/>
  <c r="EI121" i="3"/>
  <c r="EH121" i="3"/>
  <c r="EG121" i="3"/>
  <c r="EF121" i="3"/>
  <c r="EE121" i="3"/>
  <c r="ED121" i="3"/>
  <c r="EC121" i="3"/>
  <c r="EB121" i="3"/>
  <c r="EA121" i="3"/>
  <c r="DZ121" i="3"/>
  <c r="DY121" i="3"/>
  <c r="DX121" i="3"/>
  <c r="DW121" i="3"/>
  <c r="DV121" i="3"/>
  <c r="DU121" i="3"/>
  <c r="DT121" i="3"/>
  <c r="DS121" i="3"/>
  <c r="DR121" i="3"/>
  <c r="DQ121" i="3"/>
  <c r="DP121" i="3"/>
  <c r="DO121" i="3"/>
  <c r="DN121" i="3"/>
  <c r="DM121" i="3"/>
  <c r="DL121" i="3"/>
  <c r="DK121" i="3"/>
  <c r="DJ121" i="3"/>
  <c r="DI121" i="3"/>
  <c r="DH121" i="3"/>
  <c r="DF121" i="3"/>
  <c r="DE121" i="3"/>
  <c r="DD121" i="3"/>
  <c r="DC121" i="3"/>
  <c r="DB121" i="3"/>
  <c r="DA121" i="3"/>
  <c r="CZ121" i="3"/>
  <c r="FI120" i="3"/>
  <c r="FH120" i="3"/>
  <c r="FG120" i="3"/>
  <c r="FF120" i="3"/>
  <c r="FE120" i="3"/>
  <c r="FD120" i="3"/>
  <c r="FC120" i="3"/>
  <c r="FB120" i="3"/>
  <c r="FA120" i="3"/>
  <c r="EZ120" i="3"/>
  <c r="EY120" i="3"/>
  <c r="EX120" i="3"/>
  <c r="EW120" i="3"/>
  <c r="EV120" i="3"/>
  <c r="EU120" i="3"/>
  <c r="ET120" i="3"/>
  <c r="ES120" i="3"/>
  <c r="ER120" i="3"/>
  <c r="EQ120" i="3"/>
  <c r="EP120" i="3"/>
  <c r="EO120" i="3"/>
  <c r="EN120" i="3"/>
  <c r="EM120" i="3"/>
  <c r="EL120" i="3"/>
  <c r="EK120" i="3"/>
  <c r="EJ120" i="3"/>
  <c r="EI120" i="3"/>
  <c r="EH120" i="3"/>
  <c r="EG120" i="3"/>
  <c r="EF120" i="3"/>
  <c r="EE120" i="3"/>
  <c r="ED120" i="3"/>
  <c r="EC120" i="3"/>
  <c r="EB120" i="3"/>
  <c r="EA120" i="3"/>
  <c r="DZ120" i="3"/>
  <c r="DY120" i="3"/>
  <c r="DX120" i="3"/>
  <c r="DW120" i="3"/>
  <c r="DV120" i="3"/>
  <c r="DU120" i="3"/>
  <c r="DT120" i="3"/>
  <c r="DS120" i="3"/>
  <c r="DR120" i="3"/>
  <c r="DQ120" i="3"/>
  <c r="DP120" i="3"/>
  <c r="DO120" i="3"/>
  <c r="DN120" i="3"/>
  <c r="DM120" i="3"/>
  <c r="DL120" i="3"/>
  <c r="DK120" i="3"/>
  <c r="DJ120" i="3"/>
  <c r="DI120" i="3"/>
  <c r="DH120" i="3"/>
  <c r="DG120" i="3"/>
  <c r="DF120" i="3"/>
  <c r="DE120" i="3"/>
  <c r="DD120" i="3"/>
  <c r="DC120" i="3"/>
  <c r="DB120" i="3"/>
  <c r="DA120" i="3"/>
  <c r="CZ120" i="3"/>
  <c r="FG119" i="3"/>
  <c r="FC119" i="3"/>
  <c r="ER119" i="3"/>
  <c r="DZ119" i="3"/>
  <c r="DT119" i="3"/>
  <c r="AF119" i="3"/>
  <c r="AC119" i="3"/>
  <c r="X119" i="3"/>
  <c r="Y119" i="3" s="1"/>
  <c r="U119" i="3"/>
  <c r="P119" i="3"/>
  <c r="FG118" i="3"/>
  <c r="FC118" i="3"/>
  <c r="ER118" i="3"/>
  <c r="EQ118" i="3"/>
  <c r="EQ119" i="3" s="1"/>
  <c r="DZ118" i="3"/>
  <c r="DT118" i="3"/>
  <c r="CW118" i="3"/>
  <c r="AF118" i="3"/>
  <c r="AC118" i="3"/>
  <c r="X118" i="3"/>
  <c r="Y118" i="3" s="1"/>
  <c r="U118" i="3"/>
  <c r="P118" i="3"/>
  <c r="Q118" i="3" s="1"/>
  <c r="O118" i="3"/>
  <c r="DV119" i="3" s="1"/>
  <c r="E118" i="3"/>
  <c r="FG117" i="3"/>
  <c r="FC117" i="3"/>
  <c r="DZ117" i="3"/>
  <c r="DW117" i="3"/>
  <c r="DX117" i="3" s="1"/>
  <c r="DV117" i="3"/>
  <c r="DT117" i="3"/>
  <c r="AL117" i="3"/>
  <c r="AM117" i="3" s="1"/>
  <c r="AK117" i="3"/>
  <c r="AF117" i="3"/>
  <c r="AC117" i="3"/>
  <c r="X117" i="3"/>
  <c r="Y117" i="3" s="1"/>
  <c r="U117" i="3"/>
  <c r="P117" i="3"/>
  <c r="GD116" i="3"/>
  <c r="FG116" i="3"/>
  <c r="FC116" i="3"/>
  <c r="EQ116" i="3"/>
  <c r="EQ117" i="3" s="1"/>
  <c r="DZ116" i="3"/>
  <c r="DW116" i="3"/>
  <c r="DX116" i="3" s="1"/>
  <c r="DV116" i="3"/>
  <c r="EV116" i="3" s="1"/>
  <c r="DT116" i="3"/>
  <c r="DC116" i="3"/>
  <c r="CX116" i="3"/>
  <c r="AL116" i="3"/>
  <c r="AM116" i="3" s="1"/>
  <c r="AK116" i="3"/>
  <c r="AF116" i="3"/>
  <c r="AC116" i="3"/>
  <c r="X116" i="3"/>
  <c r="Y116" i="3" s="1"/>
  <c r="U116" i="3"/>
  <c r="Q116" i="3"/>
  <c r="F116" i="3"/>
  <c r="EK117" i="3" s="1"/>
  <c r="FF115" i="3"/>
  <c r="DY115" i="3"/>
  <c r="DU115" i="3"/>
  <c r="DS115" i="3"/>
  <c r="FF114" i="3"/>
  <c r="EE114" i="3"/>
  <c r="ED114" i="3"/>
  <c r="EC114" i="3"/>
  <c r="DY114" i="3"/>
  <c r="DU114" i="3"/>
  <c r="DS114" i="3"/>
  <c r="FG113" i="3"/>
  <c r="FC113" i="3"/>
  <c r="ER113" i="3"/>
  <c r="DZ113" i="3"/>
  <c r="DT113" i="3"/>
  <c r="AF113" i="3"/>
  <c r="AC113" i="3"/>
  <c r="X113" i="3"/>
  <c r="Y113" i="3" s="1"/>
  <c r="U113" i="3"/>
  <c r="P113" i="3"/>
  <c r="FG112" i="3"/>
  <c r="FC112" i="3"/>
  <c r="ER112" i="3"/>
  <c r="EQ112" i="3"/>
  <c r="EQ113" i="3" s="1"/>
  <c r="DZ112" i="3"/>
  <c r="DT112" i="3"/>
  <c r="CW112" i="3"/>
  <c r="AF112" i="3"/>
  <c r="AC112" i="3"/>
  <c r="X112" i="3"/>
  <c r="Y112" i="3" s="1"/>
  <c r="U112" i="3"/>
  <c r="P112" i="3"/>
  <c r="Q112" i="3" s="1"/>
  <c r="O112" i="3"/>
  <c r="DV113" i="3" s="1"/>
  <c r="E112" i="3"/>
  <c r="FG111" i="3"/>
  <c r="FC111" i="3"/>
  <c r="DZ111" i="3"/>
  <c r="DW111" i="3"/>
  <c r="DX111" i="3" s="1"/>
  <c r="DV111" i="3"/>
  <c r="DT111" i="3"/>
  <c r="AL111" i="3"/>
  <c r="AM111" i="3" s="1"/>
  <c r="AK111" i="3"/>
  <c r="AF111" i="3"/>
  <c r="AC111" i="3"/>
  <c r="X111" i="3"/>
  <c r="Y111" i="3" s="1"/>
  <c r="U111" i="3"/>
  <c r="P111" i="3"/>
  <c r="GD110" i="3"/>
  <c r="FG110" i="3"/>
  <c r="FC110" i="3"/>
  <c r="EQ110" i="3"/>
  <c r="EQ111" i="3" s="1"/>
  <c r="DZ110" i="3"/>
  <c r="DW110" i="3"/>
  <c r="DX110" i="3" s="1"/>
  <c r="DV110" i="3"/>
  <c r="EV110" i="3" s="1"/>
  <c r="DT110" i="3"/>
  <c r="DD110" i="3"/>
  <c r="DC110" i="3"/>
  <c r="CX110" i="3"/>
  <c r="AL110" i="3"/>
  <c r="AM110" i="3" s="1"/>
  <c r="AK110" i="3"/>
  <c r="AF110" i="3"/>
  <c r="AC110" i="3"/>
  <c r="X110" i="3"/>
  <c r="Y110" i="3" s="1"/>
  <c r="U110" i="3"/>
  <c r="Q110" i="3"/>
  <c r="F110" i="3"/>
  <c r="EK111" i="3" s="1"/>
  <c r="FF109" i="3"/>
  <c r="DY109" i="3"/>
  <c r="DU109" i="3"/>
  <c r="DS109" i="3"/>
  <c r="FF108" i="3"/>
  <c r="EE108" i="3"/>
  <c r="ED108" i="3"/>
  <c r="EC108" i="3"/>
  <c r="DY108" i="3"/>
  <c r="DU108" i="3"/>
  <c r="DS108" i="3"/>
  <c r="FG107" i="3"/>
  <c r="FC107" i="3"/>
  <c r="ER107" i="3"/>
  <c r="DZ107" i="3"/>
  <c r="DT107" i="3"/>
  <c r="P107" i="3"/>
  <c r="FG106" i="3"/>
  <c r="FC106" i="3"/>
  <c r="ER106" i="3"/>
  <c r="DZ106" i="3"/>
  <c r="DT106" i="3"/>
  <c r="CW106" i="3"/>
  <c r="P106" i="3"/>
  <c r="Q106" i="3" s="1"/>
  <c r="O106" i="3"/>
  <c r="DV107" i="3" s="1"/>
  <c r="E106" i="3"/>
  <c r="FG105" i="3"/>
  <c r="FC105" i="3"/>
  <c r="DZ105" i="3"/>
  <c r="DW105" i="3"/>
  <c r="DX105" i="3" s="1"/>
  <c r="DV105" i="3"/>
  <c r="DT105" i="3"/>
  <c r="AK105" i="3"/>
  <c r="P105" i="3"/>
  <c r="FG104" i="3"/>
  <c r="FC104" i="3"/>
  <c r="EQ104" i="3"/>
  <c r="EQ105" i="3" s="1"/>
  <c r="DZ104" i="3"/>
  <c r="DW104" i="3"/>
  <c r="DX104" i="3" s="1"/>
  <c r="DV104" i="3"/>
  <c r="EV104" i="3" s="1"/>
  <c r="DT104" i="3"/>
  <c r="CX104" i="3"/>
  <c r="AK104" i="3"/>
  <c r="Q104" i="3"/>
  <c r="FC101" i="3"/>
  <c r="FC100" i="3"/>
  <c r="AK99" i="3"/>
  <c r="AN99" i="3"/>
  <c r="AK98" i="3"/>
  <c r="DR116" i="3" l="1"/>
  <c r="DR110" i="3"/>
  <c r="M122" i="18"/>
  <c r="M124" i="18" s="1"/>
  <c r="AY424" i="14"/>
  <c r="AT424" i="14" s="1"/>
  <c r="AT423" i="14"/>
  <c r="U33" i="14"/>
  <c r="EV105" i="3"/>
  <c r="DP105" i="3"/>
  <c r="DR105" i="3"/>
  <c r="DN105" i="3"/>
  <c r="DR107" i="3"/>
  <c r="DN107" i="3"/>
  <c r="EV107" i="3"/>
  <c r="DP107" i="3"/>
  <c r="EV117" i="3"/>
  <c r="DP117" i="3"/>
  <c r="DR117" i="3"/>
  <c r="DN117" i="3"/>
  <c r="DR119" i="3"/>
  <c r="DN119" i="3"/>
  <c r="EV119" i="3"/>
  <c r="DP119" i="3"/>
  <c r="DR111" i="3"/>
  <c r="EV111" i="3"/>
  <c r="DP111" i="3"/>
  <c r="DN111" i="3"/>
  <c r="EV113" i="3"/>
  <c r="DP113" i="3"/>
  <c r="DN113" i="3"/>
  <c r="DR113" i="3"/>
  <c r="DR122" i="3"/>
  <c r="EV123" i="3"/>
  <c r="DP123" i="3"/>
  <c r="DN123" i="3"/>
  <c r="DR123" i="3"/>
  <c r="DR125" i="3"/>
  <c r="EV125" i="3"/>
  <c r="DN125" i="3"/>
  <c r="DP125" i="3"/>
  <c r="V65" i="14"/>
  <c r="O39" i="15"/>
  <c r="AI89" i="15"/>
  <c r="AJ89" i="15" s="1"/>
  <c r="V89" i="15"/>
  <c r="CR330" i="3"/>
  <c r="CR376" i="3"/>
  <c r="CR377" i="3" s="1"/>
  <c r="CT330" i="3"/>
  <c r="CT376" i="3"/>
  <c r="CT377" i="3" s="1"/>
  <c r="CU385" i="3"/>
  <c r="CU388" i="3"/>
  <c r="CS385" i="3"/>
  <c r="CS388" i="3"/>
  <c r="CT331" i="3"/>
  <c r="CT425" i="3" s="1"/>
  <c r="CT426" i="3" s="1"/>
  <c r="CU333" i="3"/>
  <c r="CU330" i="3"/>
  <c r="CR331" i="3"/>
  <c r="CR425" i="3" s="1"/>
  <c r="CR426" i="3" s="1"/>
  <c r="CS333" i="3"/>
  <c r="CS330" i="3"/>
  <c r="EG110" i="3"/>
  <c r="DN110" i="3"/>
  <c r="EG116" i="3"/>
  <c r="DR104" i="3"/>
  <c r="DN104" i="3"/>
  <c r="EM107" i="3"/>
  <c r="EM106" i="3"/>
  <c r="EN107" i="3"/>
  <c r="EN106" i="3"/>
  <c r="EI110" i="3"/>
  <c r="EJ110" i="3" s="1"/>
  <c r="DN116" i="3"/>
  <c r="EN119" i="3"/>
  <c r="EN118" i="3"/>
  <c r="EM119" i="3"/>
  <c r="Z119" i="3" s="1"/>
  <c r="EM118" i="3"/>
  <c r="EN113" i="3"/>
  <c r="EM113" i="3"/>
  <c r="EM112" i="3"/>
  <c r="EN112" i="3"/>
  <c r="EG122" i="3"/>
  <c r="AR339" i="14"/>
  <c r="AW340" i="14"/>
  <c r="AR340" i="14" s="1"/>
  <c r="AW380" i="15"/>
  <c r="AR380" i="15" s="1"/>
  <c r="AR379" i="15"/>
  <c r="AX383" i="15"/>
  <c r="AX380" i="15"/>
  <c r="AW381" i="15"/>
  <c r="AW426" i="15"/>
  <c r="AX428" i="15"/>
  <c r="AX425" i="15"/>
  <c r="AW333" i="15"/>
  <c r="AR333" i="15" s="1"/>
  <c r="AR332" i="15"/>
  <c r="AY380" i="15"/>
  <c r="AT380" i="15" s="1"/>
  <c r="AT379" i="15"/>
  <c r="AZ383" i="15"/>
  <c r="AZ380" i="15"/>
  <c r="AY381" i="15"/>
  <c r="AU436" i="15"/>
  <c r="AU433" i="15"/>
  <c r="AY425" i="15"/>
  <c r="AT425" i="15" s="1"/>
  <c r="AT424" i="15"/>
  <c r="AY334" i="15"/>
  <c r="AZ336" i="15"/>
  <c r="AZ333" i="15"/>
  <c r="AU388" i="15"/>
  <c r="AU391" i="15"/>
  <c r="AS388" i="15"/>
  <c r="AS391" i="15"/>
  <c r="AW425" i="15"/>
  <c r="AR425" i="15" s="1"/>
  <c r="AR424" i="15"/>
  <c r="AW334" i="15"/>
  <c r="AX336" i="15"/>
  <c r="AX333" i="15"/>
  <c r="AS436" i="15"/>
  <c r="AS433" i="15"/>
  <c r="AU342" i="15"/>
  <c r="AU339" i="15"/>
  <c r="AS342" i="15"/>
  <c r="AS339" i="15"/>
  <c r="AY426" i="15"/>
  <c r="AZ428" i="15"/>
  <c r="AZ425" i="15"/>
  <c r="AY333" i="15"/>
  <c r="AT333" i="15" s="1"/>
  <c r="AT332" i="15"/>
  <c r="AW425" i="14"/>
  <c r="AX427" i="14"/>
  <c r="AX424" i="14"/>
  <c r="AW424" i="14"/>
  <c r="AR424" i="14" s="1"/>
  <c r="AR423" i="14"/>
  <c r="AY425" i="14"/>
  <c r="AZ427" i="14"/>
  <c r="AZ424" i="14"/>
  <c r="AW378" i="14"/>
  <c r="AX380" i="14"/>
  <c r="AX377" i="14"/>
  <c r="AY377" i="14"/>
  <c r="AT377" i="14" s="1"/>
  <c r="AT376" i="14"/>
  <c r="AW377" i="14"/>
  <c r="AR377" i="14" s="1"/>
  <c r="AR376" i="14"/>
  <c r="AY378" i="14"/>
  <c r="AZ380" i="14"/>
  <c r="AZ377" i="14"/>
  <c r="N27" i="14"/>
  <c r="BR27" i="14" s="1"/>
  <c r="AT339" i="14"/>
  <c r="AY340" i="14"/>
  <c r="AT340" i="14" s="1"/>
  <c r="AU384" i="14"/>
  <c r="AU381" i="14"/>
  <c r="AS384" i="14"/>
  <c r="AS381" i="14"/>
  <c r="AZ338" i="14"/>
  <c r="AZ341" i="14"/>
  <c r="AY341" i="14" s="1"/>
  <c r="AX338" i="14"/>
  <c r="AX341" i="14"/>
  <c r="AW341" i="14" s="1"/>
  <c r="AS333" i="14"/>
  <c r="AS330" i="14"/>
  <c r="AU333" i="14"/>
  <c r="AU330" i="14"/>
  <c r="AU425" i="14"/>
  <c r="AU422" i="14"/>
  <c r="AS425" i="14"/>
  <c r="AS422" i="14"/>
  <c r="DC104" i="3"/>
  <c r="EG104" i="3" s="1"/>
  <c r="F104" i="3"/>
  <c r="EK105" i="3" s="1"/>
  <c r="DN122" i="3"/>
  <c r="DP116" i="3"/>
  <c r="ET278" i="3"/>
  <c r="ET300" i="3" s="1"/>
  <c r="EW278" i="3"/>
  <c r="EW300" i="3" s="1"/>
  <c r="DE300" i="3"/>
  <c r="EV278" i="3"/>
  <c r="EV300" i="3" s="1"/>
  <c r="EX278" i="3"/>
  <c r="EX300" i="3" s="1"/>
  <c r="CS415" i="3"/>
  <c r="CU415" i="3"/>
  <c r="DP104" i="3"/>
  <c r="DP110" i="3"/>
  <c r="DP122" i="3"/>
  <c r="DC123" i="3"/>
  <c r="DD123" i="3"/>
  <c r="EN123" i="3" s="1"/>
  <c r="GD123" i="3"/>
  <c r="DV124" i="3"/>
  <c r="DW125" i="3"/>
  <c r="DX125" i="3" s="1"/>
  <c r="DD122" i="3"/>
  <c r="DW124" i="3"/>
  <c r="DX124" i="3" s="1"/>
  <c r="DC117" i="3"/>
  <c r="DD117" i="3"/>
  <c r="GD117" i="3"/>
  <c r="DV118" i="3"/>
  <c r="DW119" i="3"/>
  <c r="DX119" i="3" s="1"/>
  <c r="DD116" i="3"/>
  <c r="EI116" i="3" s="1"/>
  <c r="DW118" i="3"/>
  <c r="DX118" i="3" s="1"/>
  <c r="EP110" i="3"/>
  <c r="EO110" i="3"/>
  <c r="DC111" i="3"/>
  <c r="DD111" i="3"/>
  <c r="CQ110" i="3"/>
  <c r="DG110" i="3"/>
  <c r="FY110" i="3"/>
  <c r="FS110" i="3" s="1"/>
  <c r="FL110" i="3" s="1"/>
  <c r="GB110" i="3"/>
  <c r="FV110" i="3" s="1"/>
  <c r="FO110" i="3" s="1"/>
  <c r="EP111" i="3"/>
  <c r="GD111" i="3"/>
  <c r="F112" i="3"/>
  <c r="DV112" i="3"/>
  <c r="DW113" i="3"/>
  <c r="DX113" i="3" s="1"/>
  <c r="DJ110" i="3"/>
  <c r="DW112" i="3"/>
  <c r="DX112" i="3" s="1"/>
  <c r="DC105" i="3"/>
  <c r="DD105" i="3"/>
  <c r="DV106" i="3"/>
  <c r="DW107" i="3"/>
  <c r="DX107" i="3" s="1"/>
  <c r="DD104" i="3"/>
  <c r="EI104" i="3" s="1"/>
  <c r="DW106" i="3"/>
  <c r="DX106" i="3" s="1"/>
  <c r="DN93" i="3"/>
  <c r="DK93" i="3"/>
  <c r="DL93" i="3" s="1"/>
  <c r="DJ93" i="3"/>
  <c r="DH93" i="3"/>
  <c r="K93" i="3"/>
  <c r="D93" i="3"/>
  <c r="DN92" i="3"/>
  <c r="DK92" i="3"/>
  <c r="DL92" i="3" s="1"/>
  <c r="DJ92" i="3"/>
  <c r="DH92" i="3"/>
  <c r="K92" i="3"/>
  <c r="D92" i="3"/>
  <c r="DM90" i="3"/>
  <c r="DN90" i="3" s="1"/>
  <c r="DK90" i="3"/>
  <c r="DL90" i="3" s="1"/>
  <c r="DJ90" i="3"/>
  <c r="DH90" i="3"/>
  <c r="K90" i="3"/>
  <c r="D90" i="3"/>
  <c r="DM89" i="3"/>
  <c r="DN89" i="3" s="1"/>
  <c r="DK89" i="3"/>
  <c r="DL89" i="3" s="1"/>
  <c r="DJ89" i="3"/>
  <c r="DH89" i="3"/>
  <c r="K89" i="3"/>
  <c r="D89" i="3"/>
  <c r="DM88" i="3"/>
  <c r="DN88" i="3" s="1"/>
  <c r="DK88" i="3"/>
  <c r="DL88" i="3" s="1"/>
  <c r="DJ88" i="3"/>
  <c r="DH88" i="3"/>
  <c r="K88" i="3"/>
  <c r="D88" i="3"/>
  <c r="DM78" i="3"/>
  <c r="DN78" i="3" s="1"/>
  <c r="DK78" i="3"/>
  <c r="DL78" i="3" s="1"/>
  <c r="DJ78" i="3"/>
  <c r="DF78" i="3" s="1"/>
  <c r="K78" i="3"/>
  <c r="D78" i="3"/>
  <c r="DM77" i="3"/>
  <c r="DK77" i="3"/>
  <c r="DJ77" i="3"/>
  <c r="DF77" i="3" s="1"/>
  <c r="DF127" i="3" s="1"/>
  <c r="K77" i="3"/>
  <c r="F77" i="3"/>
  <c r="D77" i="3"/>
  <c r="DM75" i="3"/>
  <c r="DN75" i="3" s="1"/>
  <c r="DK75" i="3"/>
  <c r="DL75" i="3" s="1"/>
  <c r="DJ75" i="3"/>
  <c r="DE75" i="3" s="1"/>
  <c r="K75" i="3"/>
  <c r="D75" i="3"/>
  <c r="DM74" i="3"/>
  <c r="DN74" i="3" s="1"/>
  <c r="DK74" i="3"/>
  <c r="DL74" i="3" s="1"/>
  <c r="DJ74" i="3"/>
  <c r="DE74" i="3" s="1"/>
  <c r="K74" i="3"/>
  <c r="F74" i="3"/>
  <c r="D74" i="3"/>
  <c r="AY426" i="14" l="1"/>
  <c r="AT426" i="14" s="1"/>
  <c r="AT425" i="14"/>
  <c r="DF88" i="3"/>
  <c r="DE88" i="3"/>
  <c r="DE89" i="3"/>
  <c r="DF89" i="3"/>
  <c r="DE92" i="3"/>
  <c r="DF92" i="3"/>
  <c r="DF93" i="3"/>
  <c r="DE93" i="3"/>
  <c r="EI122" i="3"/>
  <c r="EN122" i="3"/>
  <c r="F78" i="3"/>
  <c r="DF90" i="3"/>
  <c r="DE90" i="3"/>
  <c r="F75" i="3"/>
  <c r="BN30" i="14"/>
  <c r="BL30" i="14"/>
  <c r="BO31" i="14"/>
  <c r="BO30" i="14"/>
  <c r="BM30" i="14"/>
  <c r="AU31" i="14" s="1"/>
  <c r="AS30" i="14"/>
  <c r="BS28" i="14"/>
  <c r="BS29" i="14" s="1"/>
  <c r="BT28" i="14"/>
  <c r="BT29" i="14" s="1"/>
  <c r="Z27" i="14"/>
  <c r="W27" i="14"/>
  <c r="AA27" i="14"/>
  <c r="X27" i="14"/>
  <c r="AB39" i="15"/>
  <c r="Y39" i="15"/>
  <c r="AI81" i="14"/>
  <c r="AJ81" i="14" s="1"/>
  <c r="AI89" i="14"/>
  <c r="AJ89" i="14" s="1"/>
  <c r="Z113" i="3"/>
  <c r="CT332" i="3"/>
  <c r="CT378" i="3"/>
  <c r="CT379" i="3" s="1"/>
  <c r="CR332" i="3"/>
  <c r="CR378" i="3"/>
  <c r="CR379" i="3" s="1"/>
  <c r="CU387" i="3"/>
  <c r="CU390" i="3"/>
  <c r="CS387" i="3"/>
  <c r="CS390" i="3"/>
  <c r="CR333" i="3"/>
  <c r="CR427" i="3" s="1"/>
  <c r="CR428" i="3" s="1"/>
  <c r="CS335" i="3"/>
  <c r="CS332" i="3"/>
  <c r="CT333" i="3"/>
  <c r="CT427" i="3" s="1"/>
  <c r="CT428" i="3" s="1"/>
  <c r="CU335" i="3"/>
  <c r="CU332" i="3"/>
  <c r="AW342" i="14"/>
  <c r="AR342" i="14" s="1"/>
  <c r="AR341" i="14"/>
  <c r="AY427" i="15"/>
  <c r="AT427" i="15" s="1"/>
  <c r="AT426" i="15"/>
  <c r="AS344" i="15"/>
  <c r="AS341" i="15"/>
  <c r="AU344" i="15"/>
  <c r="AU341" i="15"/>
  <c r="AS438" i="15"/>
  <c r="AS435" i="15"/>
  <c r="AW336" i="15"/>
  <c r="AX338" i="15"/>
  <c r="AX335" i="15"/>
  <c r="AY336" i="15"/>
  <c r="AZ338" i="15"/>
  <c r="AZ335" i="15"/>
  <c r="AY382" i="15"/>
  <c r="AT382" i="15" s="1"/>
  <c r="AT381" i="15"/>
  <c r="AZ385" i="15"/>
  <c r="AZ382" i="15"/>
  <c r="AY383" i="15"/>
  <c r="AW427" i="15"/>
  <c r="AR427" i="15" s="1"/>
  <c r="AR426" i="15"/>
  <c r="AY428" i="15"/>
  <c r="AZ430" i="15"/>
  <c r="AZ427" i="15"/>
  <c r="AW335" i="15"/>
  <c r="AR335" i="15" s="1"/>
  <c r="AR334" i="15"/>
  <c r="AS390" i="15"/>
  <c r="AS393" i="15"/>
  <c r="AU390" i="15"/>
  <c r="AU393" i="15"/>
  <c r="AY335" i="15"/>
  <c r="AT335" i="15" s="1"/>
  <c r="AT334" i="15"/>
  <c r="AU438" i="15"/>
  <c r="AU435" i="15"/>
  <c r="AW428" i="15"/>
  <c r="AX430" i="15"/>
  <c r="AX427" i="15"/>
  <c r="AW382" i="15"/>
  <c r="AR382" i="15" s="1"/>
  <c r="AR381" i="15"/>
  <c r="AX385" i="15"/>
  <c r="AX382" i="15"/>
  <c r="AW383" i="15"/>
  <c r="AY427" i="14"/>
  <c r="AZ429" i="14"/>
  <c r="AZ426" i="14"/>
  <c r="AW426" i="14"/>
  <c r="AR426" i="14" s="1"/>
  <c r="AR425" i="14"/>
  <c r="AW427" i="14"/>
  <c r="AX429" i="14"/>
  <c r="AX426" i="14"/>
  <c r="AY380" i="14"/>
  <c r="AZ382" i="14"/>
  <c r="AZ379" i="14"/>
  <c r="AW379" i="14"/>
  <c r="AR379" i="14" s="1"/>
  <c r="AR378" i="14"/>
  <c r="AY379" i="14"/>
  <c r="AT379" i="14" s="1"/>
  <c r="AT378" i="14"/>
  <c r="AW380" i="14"/>
  <c r="AX382" i="14"/>
  <c r="AX379" i="14"/>
  <c r="S27" i="14"/>
  <c r="AT341" i="14"/>
  <c r="AY342" i="14"/>
  <c r="AT342" i="14" s="1"/>
  <c r="AS386" i="14"/>
  <c r="AS383" i="14"/>
  <c r="AU386" i="14"/>
  <c r="AU383" i="14"/>
  <c r="AZ340" i="14"/>
  <c r="AZ343" i="14"/>
  <c r="AY343" i="14" s="1"/>
  <c r="AX340" i="14"/>
  <c r="AX343" i="14"/>
  <c r="AW343" i="14" s="1"/>
  <c r="AS427" i="14"/>
  <c r="AS424" i="14"/>
  <c r="AU335" i="14"/>
  <c r="AU332" i="14"/>
  <c r="AU427" i="14"/>
  <c r="AU424" i="14"/>
  <c r="AS335" i="14"/>
  <c r="AS332" i="14"/>
  <c r="DE78" i="3"/>
  <c r="DF75" i="3"/>
  <c r="CS417" i="3"/>
  <c r="CU417" i="3"/>
  <c r="DL77" i="3"/>
  <c r="DL127" i="3" s="1"/>
  <c r="DK127" i="3"/>
  <c r="DF74" i="3"/>
  <c r="DE77" i="3"/>
  <c r="DE127" i="3" s="1"/>
  <c r="DJ127" i="3"/>
  <c r="DN77" i="3"/>
  <c r="DN127" i="3" s="1"/>
  <c r="DM127" i="3"/>
  <c r="EP117" i="3"/>
  <c r="EJ122" i="3"/>
  <c r="AL122" i="3" s="1"/>
  <c r="AM122" i="3" s="1"/>
  <c r="EV124" i="3"/>
  <c r="DR124" i="3"/>
  <c r="DP124" i="3"/>
  <c r="DN124" i="3"/>
  <c r="F124" i="3"/>
  <c r="EW116" i="3"/>
  <c r="EY116" i="3" s="1"/>
  <c r="DG116" i="3"/>
  <c r="FY116" i="3"/>
  <c r="FS116" i="3" s="1"/>
  <c r="FL116" i="3" s="1"/>
  <c r="EW117" i="3"/>
  <c r="EY117" i="3" s="1"/>
  <c r="EJ116" i="3"/>
  <c r="EV118" i="3"/>
  <c r="DR118" i="3"/>
  <c r="DP118" i="3"/>
  <c r="DN118" i="3"/>
  <c r="FV117" i="3"/>
  <c r="FO117" i="3" s="1"/>
  <c r="CQ117" i="3"/>
  <c r="DJ117" i="3"/>
  <c r="FS117" i="3"/>
  <c r="FL117" i="3" s="1"/>
  <c r="DG117" i="3"/>
  <c r="F118" i="3"/>
  <c r="Z116" i="3"/>
  <c r="EP116" i="3"/>
  <c r="EW111" i="3"/>
  <c r="EY111" i="3" s="1"/>
  <c r="EK113" i="3"/>
  <c r="EW110" i="3"/>
  <c r="EY110" i="3" s="1"/>
  <c r="EO112" i="3"/>
  <c r="EP112" i="3"/>
  <c r="EV112" i="3"/>
  <c r="DR112" i="3"/>
  <c r="DP112" i="3"/>
  <c r="DN112" i="3"/>
  <c r="FV111" i="3"/>
  <c r="FO111" i="3" s="1"/>
  <c r="CQ111" i="3"/>
  <c r="FU111" i="3"/>
  <c r="FN111" i="3" s="1"/>
  <c r="DJ111" i="3"/>
  <c r="FS111" i="3"/>
  <c r="FL111" i="3" s="1"/>
  <c r="DG111" i="3"/>
  <c r="Z110" i="3"/>
  <c r="GA110" i="3"/>
  <c r="FU110" i="3" s="1"/>
  <c r="FN110" i="3" s="1"/>
  <c r="EJ104" i="3"/>
  <c r="EV106" i="3"/>
  <c r="DR106" i="3"/>
  <c r="DP106" i="3"/>
  <c r="DN106" i="3"/>
  <c r="F106" i="3"/>
  <c r="D91" i="3"/>
  <c r="D87" i="3"/>
  <c r="DN86" i="3"/>
  <c r="DH86" i="3"/>
  <c r="K86" i="3"/>
  <c r="J86" i="3"/>
  <c r="I86" i="3"/>
  <c r="G86" i="3"/>
  <c r="E86" i="3"/>
  <c r="DN85" i="3"/>
  <c r="DK85" i="3"/>
  <c r="DL85" i="3" s="1"/>
  <c r="DJ85" i="3"/>
  <c r="K85" i="3"/>
  <c r="DN84" i="3"/>
  <c r="DH84" i="3"/>
  <c r="K84" i="3"/>
  <c r="J84" i="3"/>
  <c r="I84" i="3"/>
  <c r="G84" i="3"/>
  <c r="E84" i="3"/>
  <c r="DN83" i="3"/>
  <c r="DK83" i="3"/>
  <c r="DL83" i="3" s="1"/>
  <c r="DJ83" i="3"/>
  <c r="K83" i="3"/>
  <c r="F83" i="3"/>
  <c r="F84" i="3" s="1"/>
  <c r="DN82" i="3"/>
  <c r="DH82" i="3"/>
  <c r="K82" i="3"/>
  <c r="J82" i="3"/>
  <c r="I82" i="3"/>
  <c r="G82" i="3"/>
  <c r="E82" i="3"/>
  <c r="DN81" i="3"/>
  <c r="DK81" i="3"/>
  <c r="DL81" i="3" s="1"/>
  <c r="DJ81" i="3"/>
  <c r="K81" i="3"/>
  <c r="D76" i="3"/>
  <c r="D73" i="3"/>
  <c r="FG115" i="3"/>
  <c r="ER115" i="3"/>
  <c r="EP115" i="3"/>
  <c r="EO115" i="3"/>
  <c r="EM115" i="3"/>
  <c r="EB115" i="3"/>
  <c r="DZ115" i="3"/>
  <c r="DN115" i="3"/>
  <c r="DT115" i="3"/>
  <c r="FG114" i="3"/>
  <c r="ER114" i="3"/>
  <c r="EP114" i="3"/>
  <c r="EM114" i="3"/>
  <c r="EB114" i="3"/>
  <c r="DZ114" i="3"/>
  <c r="DV114" i="3"/>
  <c r="DT114" i="3"/>
  <c r="DR114" i="3"/>
  <c r="DN114" i="3"/>
  <c r="FG109" i="3"/>
  <c r="ER109" i="3"/>
  <c r="EP109" i="3"/>
  <c r="EO109" i="3"/>
  <c r="EM109" i="3"/>
  <c r="EB109" i="3"/>
  <c r="DZ109" i="3"/>
  <c r="DV109" i="3"/>
  <c r="DT109" i="3"/>
  <c r="FG108" i="3"/>
  <c r="ER108" i="3"/>
  <c r="EP108" i="3"/>
  <c r="EM108" i="3"/>
  <c r="EB108" i="3"/>
  <c r="DZ108" i="3"/>
  <c r="DT108" i="3"/>
  <c r="DR108" i="3"/>
  <c r="DT39" i="3"/>
  <c r="DU39" i="3" s="1"/>
  <c r="DR39" i="3"/>
  <c r="DS39" i="3" s="1"/>
  <c r="DQ39" i="3"/>
  <c r="K39" i="3"/>
  <c r="DA39" i="3" s="1"/>
  <c r="DT38" i="3"/>
  <c r="DU38" i="3" s="1"/>
  <c r="DR38" i="3"/>
  <c r="DS38" i="3" s="1"/>
  <c r="DQ38" i="3"/>
  <c r="L38" i="3"/>
  <c r="F38" i="3"/>
  <c r="DT37" i="3"/>
  <c r="DU37" i="3" s="1"/>
  <c r="DR37" i="3"/>
  <c r="DS37" i="3" s="1"/>
  <c r="DQ37" i="3"/>
  <c r="K37" i="3"/>
  <c r="DT36" i="3"/>
  <c r="DU36" i="3" s="1"/>
  <c r="DR36" i="3"/>
  <c r="DS36" i="3" s="1"/>
  <c r="DQ36" i="3"/>
  <c r="L36" i="3"/>
  <c r="DT35" i="3"/>
  <c r="DU35" i="3" s="1"/>
  <c r="DR35" i="3"/>
  <c r="DS35" i="3" s="1"/>
  <c r="DQ35" i="3"/>
  <c r="K35" i="3"/>
  <c r="DA35" i="3" s="1"/>
  <c r="DT34" i="3"/>
  <c r="DU34" i="3" s="1"/>
  <c r="DR34" i="3"/>
  <c r="DS34" i="3" s="1"/>
  <c r="DQ34" i="3"/>
  <c r="L34" i="3"/>
  <c r="F34" i="3"/>
  <c r="DT33" i="3"/>
  <c r="DU33" i="3" s="1"/>
  <c r="DR33" i="3"/>
  <c r="DS33" i="3" s="1"/>
  <c r="DQ33" i="3"/>
  <c r="K33" i="3"/>
  <c r="DT32" i="3"/>
  <c r="DU32" i="3" s="1"/>
  <c r="DR32" i="3"/>
  <c r="DS32" i="3" s="1"/>
  <c r="DQ32" i="3"/>
  <c r="L32" i="3"/>
  <c r="DT29" i="3"/>
  <c r="DR29" i="3"/>
  <c r="DS29" i="3" s="1"/>
  <c r="DQ29" i="3"/>
  <c r="K29" i="3"/>
  <c r="DA29" i="3" s="1"/>
  <c r="DT28" i="3"/>
  <c r="DR28" i="3"/>
  <c r="DS28" i="3" s="1"/>
  <c r="DQ28" i="3"/>
  <c r="L28" i="3"/>
  <c r="F28" i="3"/>
  <c r="DT27" i="3"/>
  <c r="DR27" i="3"/>
  <c r="DS27" i="3" s="1"/>
  <c r="DQ27" i="3"/>
  <c r="K27" i="3"/>
  <c r="DA27" i="3" s="1"/>
  <c r="DT26" i="3"/>
  <c r="DR26" i="3"/>
  <c r="DS26" i="3" s="1"/>
  <c r="DQ26" i="3"/>
  <c r="L26" i="3"/>
  <c r="F26" i="3"/>
  <c r="DT25" i="3"/>
  <c r="DR25" i="3"/>
  <c r="DS25" i="3" s="1"/>
  <c r="DQ25" i="3"/>
  <c r="K25" i="3"/>
  <c r="DA25" i="3" s="1"/>
  <c r="DT24" i="3"/>
  <c r="DR24" i="3"/>
  <c r="DS24" i="3" s="1"/>
  <c r="DQ24" i="3"/>
  <c r="L24" i="3"/>
  <c r="F24" i="3"/>
  <c r="DT23" i="3"/>
  <c r="DR23" i="3"/>
  <c r="DS23" i="3" s="1"/>
  <c r="DQ23" i="3"/>
  <c r="K23" i="3"/>
  <c r="DA23" i="3" s="1"/>
  <c r="DT22" i="3"/>
  <c r="DR22" i="3"/>
  <c r="DS22" i="3" s="1"/>
  <c r="DQ22" i="3"/>
  <c r="L22" i="3"/>
  <c r="F22" i="3"/>
  <c r="DT17" i="3"/>
  <c r="DU17" i="3" s="1"/>
  <c r="DR17" i="3"/>
  <c r="DS17" i="3" s="1"/>
  <c r="DQ17" i="3"/>
  <c r="K17" i="3"/>
  <c r="DT16" i="3"/>
  <c r="DU16" i="3" s="1"/>
  <c r="DR16" i="3"/>
  <c r="DS16" i="3" s="1"/>
  <c r="DQ16" i="3"/>
  <c r="L16" i="3"/>
  <c r="DT15" i="3"/>
  <c r="DU15" i="3" s="1"/>
  <c r="DR15" i="3"/>
  <c r="DS15" i="3" s="1"/>
  <c r="DQ15" i="3"/>
  <c r="K15" i="3"/>
  <c r="DT14" i="3"/>
  <c r="DU14" i="3" s="1"/>
  <c r="DR14" i="3"/>
  <c r="DS14" i="3" s="1"/>
  <c r="DQ14" i="3"/>
  <c r="L14" i="3"/>
  <c r="DT19" i="3"/>
  <c r="DU19" i="3" s="1"/>
  <c r="DR19" i="3"/>
  <c r="DS19" i="3" s="1"/>
  <c r="DQ19" i="3"/>
  <c r="K19" i="3"/>
  <c r="DA19" i="3" s="1"/>
  <c r="DT18" i="3"/>
  <c r="DU18" i="3" s="1"/>
  <c r="DR18" i="3"/>
  <c r="DS18" i="3" s="1"/>
  <c r="DQ18" i="3"/>
  <c r="L18" i="3"/>
  <c r="F18" i="3"/>
  <c r="DT13" i="3"/>
  <c r="DU13" i="3" s="1"/>
  <c r="DR13" i="3"/>
  <c r="DS13" i="3" s="1"/>
  <c r="DQ13" i="3"/>
  <c r="K13" i="3"/>
  <c r="DA13" i="3" s="1"/>
  <c r="DT12" i="3"/>
  <c r="DU12" i="3" s="1"/>
  <c r="DR12" i="3"/>
  <c r="DS12" i="3" s="1"/>
  <c r="DQ12" i="3"/>
  <c r="L12" i="3"/>
  <c r="F12" i="3"/>
  <c r="DT11" i="3"/>
  <c r="DU11" i="3" s="1"/>
  <c r="DR11" i="3"/>
  <c r="DS11" i="3" s="1"/>
  <c r="DQ11" i="3"/>
  <c r="K11" i="3"/>
  <c r="DT10" i="3"/>
  <c r="DU10" i="3" s="1"/>
  <c r="CY310" i="3" s="1"/>
  <c r="DR10" i="3"/>
  <c r="DS10" i="3" s="1"/>
  <c r="DQ10" i="3"/>
  <c r="L10" i="3"/>
  <c r="P100" i="3"/>
  <c r="Q100" i="3" s="1"/>
  <c r="CW100" i="3"/>
  <c r="O100" i="3"/>
  <c r="DV101" i="3" s="1"/>
  <c r="DV98" i="3"/>
  <c r="DT98" i="3"/>
  <c r="DZ98" i="3"/>
  <c r="P101" i="3"/>
  <c r="P99" i="3"/>
  <c r="Q98" i="3"/>
  <c r="DT101" i="3"/>
  <c r="DZ101" i="3"/>
  <c r="DT100" i="3"/>
  <c r="DZ100" i="3"/>
  <c r="DV99" i="3"/>
  <c r="CS238" i="3"/>
  <c r="CS239" i="3" s="1"/>
  <c r="CS232" i="3"/>
  <c r="CS233" i="3" s="1"/>
  <c r="CS234" i="3"/>
  <c r="CS235" i="3" s="1"/>
  <c r="CS236" i="3"/>
  <c r="CS237" i="3" s="1"/>
  <c r="DT99" i="3"/>
  <c r="CU238" i="3"/>
  <c r="CU239" i="3" s="1"/>
  <c r="CU244" i="3"/>
  <c r="CU245" i="3" s="1"/>
  <c r="CU240" i="3"/>
  <c r="CU241" i="3" s="1"/>
  <c r="DZ99" i="3"/>
  <c r="CU232" i="3"/>
  <c r="CU233" i="3" s="1"/>
  <c r="CU234" i="3"/>
  <c r="CU235" i="3" s="1"/>
  <c r="CU236" i="3"/>
  <c r="CU237" i="3" s="1"/>
  <c r="ER100" i="3"/>
  <c r="CU242" i="3"/>
  <c r="CU243" i="3" s="1"/>
  <c r="CU230" i="3"/>
  <c r="CU231" i="3" s="1"/>
  <c r="CU228" i="3"/>
  <c r="CU229" i="3" s="1"/>
  <c r="CS244" i="3"/>
  <c r="CS245" i="3" s="1"/>
  <c r="CS242" i="3"/>
  <c r="CS243" i="3" s="1"/>
  <c r="CS240" i="3"/>
  <c r="CS241" i="3" s="1"/>
  <c r="CS230" i="3"/>
  <c r="CS231" i="3" s="1"/>
  <c r="CS228" i="3"/>
  <c r="CS229" i="3" s="1"/>
  <c r="CV246" i="3"/>
  <c r="CU246" i="3" s="1"/>
  <c r="CU247" i="3" s="1"/>
  <c r="CT246" i="3"/>
  <c r="CS246" i="3" s="1"/>
  <c r="CS247" i="3" s="1"/>
  <c r="E100" i="3"/>
  <c r="DW100" i="3" s="1"/>
  <c r="DX100" i="3" s="1"/>
  <c r="FC98" i="3"/>
  <c r="CU191" i="3"/>
  <c r="CU192" i="3" s="1"/>
  <c r="CU197" i="3"/>
  <c r="CU193" i="3"/>
  <c r="CU194" i="3" s="1"/>
  <c r="CU195" i="3"/>
  <c r="CU196" i="3" s="1"/>
  <c r="CS191" i="3"/>
  <c r="CS192" i="3" s="1"/>
  <c r="CS185" i="3"/>
  <c r="CS186" i="3" s="1"/>
  <c r="CS187" i="3"/>
  <c r="CS188" i="3" s="1"/>
  <c r="CS189" i="3"/>
  <c r="CS190" i="3" s="1"/>
  <c r="CS197" i="3"/>
  <c r="CS198" i="3" s="1"/>
  <c r="CS195" i="3"/>
  <c r="CS196" i="3" s="1"/>
  <c r="CS193" i="3"/>
  <c r="CS194" i="3" s="1"/>
  <c r="CS182" i="3"/>
  <c r="CS183" i="3" s="1"/>
  <c r="CS180" i="3"/>
  <c r="CS181" i="3" s="1"/>
  <c r="CT199" i="3"/>
  <c r="CS199" i="3" s="1"/>
  <c r="CS200" i="3" s="1"/>
  <c r="K41" i="3"/>
  <c r="K31" i="3"/>
  <c r="K21" i="3"/>
  <c r="K9" i="3"/>
  <c r="ET71" i="3"/>
  <c r="ET121" i="3" s="1"/>
  <c r="CU198" i="3"/>
  <c r="CU189" i="3"/>
  <c r="CU190" i="3" s="1"/>
  <c r="CU187" i="3"/>
  <c r="CU188" i="3" s="1"/>
  <c r="CU185" i="3"/>
  <c r="CU186" i="3" s="1"/>
  <c r="CU182" i="3"/>
  <c r="CU183" i="3" s="1"/>
  <c r="CU180" i="3"/>
  <c r="CU181" i="3" s="1"/>
  <c r="CV199" i="3"/>
  <c r="CU199" i="3" s="1"/>
  <c r="CU200" i="3" s="1"/>
  <c r="CP154" i="3"/>
  <c r="CP152" i="3"/>
  <c r="K91" i="3"/>
  <c r="K87" i="3"/>
  <c r="K80" i="3"/>
  <c r="K79" i="3"/>
  <c r="K76" i="3"/>
  <c r="K73" i="3"/>
  <c r="L40" i="3"/>
  <c r="L30" i="3"/>
  <c r="L20" i="3"/>
  <c r="L8" i="3"/>
  <c r="DJ87" i="3"/>
  <c r="DH87" i="3"/>
  <c r="DJ79" i="3"/>
  <c r="DJ80" i="3" s="1"/>
  <c r="DK79" i="3"/>
  <c r="DL79" i="3" s="1"/>
  <c r="D41" i="4"/>
  <c r="G41" i="4" s="1"/>
  <c r="DN79" i="3"/>
  <c r="G80" i="3"/>
  <c r="J80" i="3"/>
  <c r="DH80" i="3"/>
  <c r="I80" i="3"/>
  <c r="DN80" i="3"/>
  <c r="DK76" i="3"/>
  <c r="DJ76" i="3"/>
  <c r="DK73" i="3"/>
  <c r="DL73" i="3" s="1"/>
  <c r="DJ73" i="3"/>
  <c r="DR8" i="3"/>
  <c r="DS8" i="3" s="1"/>
  <c r="DQ8" i="3"/>
  <c r="DQ9" i="3"/>
  <c r="DR9" i="3"/>
  <c r="DS9" i="3" s="1"/>
  <c r="CS143" i="3"/>
  <c r="CS144" i="3" s="1"/>
  <c r="CS149" i="3"/>
  <c r="CS150" i="3" s="1"/>
  <c r="CS145" i="3"/>
  <c r="CS146" i="3" s="1"/>
  <c r="CU143" i="3"/>
  <c r="CU149" i="3"/>
  <c r="CU145" i="3"/>
  <c r="CU146" i="3" s="1"/>
  <c r="CU147" i="3"/>
  <c r="CU148" i="3" s="1"/>
  <c r="CS137" i="3"/>
  <c r="CS133" i="3"/>
  <c r="CS134" i="3" s="1"/>
  <c r="CS135" i="3"/>
  <c r="CS136" i="3" s="1"/>
  <c r="CU137" i="3"/>
  <c r="CU138" i="3" s="1"/>
  <c r="CU139" i="3"/>
  <c r="CU140" i="3" s="1"/>
  <c r="CU141" i="3"/>
  <c r="CU142" i="3" s="1"/>
  <c r="CS147" i="3"/>
  <c r="CS148" i="3" s="1"/>
  <c r="F2" i="1"/>
  <c r="C309" i="1" s="1"/>
  <c r="DJ91" i="3"/>
  <c r="DH91" i="3"/>
  <c r="DN91" i="3"/>
  <c r="DQ41" i="3"/>
  <c r="DO41" i="3"/>
  <c r="DT41" i="3"/>
  <c r="DU41" i="3" s="1"/>
  <c r="DQ40" i="3"/>
  <c r="DO40" i="3"/>
  <c r="E73" i="18" s="1"/>
  <c r="DT40" i="3"/>
  <c r="DU40" i="3" s="1"/>
  <c r="DQ31" i="3"/>
  <c r="DR31" i="3"/>
  <c r="DS31" i="3" s="1"/>
  <c r="DQ30" i="3"/>
  <c r="DR30" i="3"/>
  <c r="F30" i="3" s="1"/>
  <c r="DQ21" i="3"/>
  <c r="DR21" i="3"/>
  <c r="DS21" i="3" s="1"/>
  <c r="DQ20" i="3"/>
  <c r="DR20" i="3"/>
  <c r="F20" i="3" s="1"/>
  <c r="DM73" i="3"/>
  <c r="DN73" i="3" s="1"/>
  <c r="CT151" i="3"/>
  <c r="CT153" i="3" s="1"/>
  <c r="CV151" i="3"/>
  <c r="CU151" i="3" s="1"/>
  <c r="CU152" i="3" s="1"/>
  <c r="CU150" i="3"/>
  <c r="CS139" i="3"/>
  <c r="CS140" i="3" s="1"/>
  <c r="CS141" i="3"/>
  <c r="CS142" i="3" s="1"/>
  <c r="DT31" i="3"/>
  <c r="DU31" i="3" s="1"/>
  <c r="DT30" i="3"/>
  <c r="DU30" i="3" s="1"/>
  <c r="DT21" i="3"/>
  <c r="DT20" i="3"/>
  <c r="DT8" i="3"/>
  <c r="DU8" i="3" s="1"/>
  <c r="DT9" i="3"/>
  <c r="DU9" i="3" s="1"/>
  <c r="CU144" i="3"/>
  <c r="CU135" i="3"/>
  <c r="CU136" i="3" s="1"/>
  <c r="CU133" i="3"/>
  <c r="CU134" i="3" s="1"/>
  <c r="CS138" i="3"/>
  <c r="E4" i="4"/>
  <c r="E57" i="4" s="1"/>
  <c r="E5" i="4"/>
  <c r="E6" i="4"/>
  <c r="AO99" i="3"/>
  <c r="E60" i="4"/>
  <c r="F428" i="4"/>
  <c r="D48" i="4" s="1"/>
  <c r="DW98" i="3"/>
  <c r="F98" i="3" s="1"/>
  <c r="DW99" i="3"/>
  <c r="DX99" i="3" s="1"/>
  <c r="DX98" i="3"/>
  <c r="O605" i="3"/>
  <c r="G32" i="4"/>
  <c r="G28" i="4"/>
  <c r="D35" i="4"/>
  <c r="D31" i="4"/>
  <c r="FI103" i="3"/>
  <c r="FH103" i="3"/>
  <c r="FG103" i="3"/>
  <c r="FF103" i="3"/>
  <c r="FE103" i="3"/>
  <c r="FD103" i="3"/>
  <c r="FC103" i="3"/>
  <c r="FB103" i="3"/>
  <c r="FA103" i="3"/>
  <c r="EZ103" i="3"/>
  <c r="EY103" i="3"/>
  <c r="EX103" i="3"/>
  <c r="EW103" i="3"/>
  <c r="EU103" i="3"/>
  <c r="ET103" i="3"/>
  <c r="ES103" i="3"/>
  <c r="ER103" i="3"/>
  <c r="EQ103" i="3"/>
  <c r="EP103" i="3"/>
  <c r="EO103" i="3"/>
  <c r="EN103" i="3"/>
  <c r="EM103" i="3"/>
  <c r="EL103" i="3"/>
  <c r="EK103" i="3"/>
  <c r="EJ103" i="3"/>
  <c r="EI103" i="3"/>
  <c r="EH103" i="3"/>
  <c r="EF103" i="3"/>
  <c r="EE103" i="3"/>
  <c r="ED103" i="3"/>
  <c r="EC103" i="3"/>
  <c r="EB103" i="3"/>
  <c r="EA103" i="3"/>
  <c r="DZ103" i="3"/>
  <c r="DY103" i="3"/>
  <c r="DX103" i="3"/>
  <c r="DW103" i="3"/>
  <c r="DV103" i="3"/>
  <c r="DU103" i="3"/>
  <c r="DT103" i="3"/>
  <c r="DS103" i="3"/>
  <c r="DN103" i="3"/>
  <c r="DM103" i="3"/>
  <c r="DL103" i="3"/>
  <c r="DK103" i="3"/>
  <c r="DI103" i="3"/>
  <c r="DH103" i="3"/>
  <c r="DF103" i="3"/>
  <c r="DE103" i="3"/>
  <c r="DD103" i="3"/>
  <c r="DC103" i="3"/>
  <c r="DB103" i="3"/>
  <c r="DA103" i="3"/>
  <c r="FI102" i="3"/>
  <c r="FH102" i="3"/>
  <c r="FG102" i="3"/>
  <c r="FF102" i="3"/>
  <c r="FE102" i="3"/>
  <c r="FD102" i="3"/>
  <c r="FC102" i="3"/>
  <c r="FB102" i="3"/>
  <c r="FA102" i="3"/>
  <c r="EZ102" i="3"/>
  <c r="EY102" i="3"/>
  <c r="EX102" i="3"/>
  <c r="EW102" i="3"/>
  <c r="EV102" i="3"/>
  <c r="EU102" i="3"/>
  <c r="ET102" i="3"/>
  <c r="ES102" i="3"/>
  <c r="ER102" i="3"/>
  <c r="EQ102" i="3"/>
  <c r="EP102" i="3"/>
  <c r="EO102" i="3"/>
  <c r="EN102" i="3"/>
  <c r="EM102" i="3"/>
  <c r="EL102" i="3"/>
  <c r="EK102" i="3"/>
  <c r="EJ102" i="3"/>
  <c r="EI102" i="3"/>
  <c r="EH102" i="3"/>
  <c r="EG102" i="3"/>
  <c r="EF102" i="3"/>
  <c r="EE102" i="3"/>
  <c r="ED102" i="3"/>
  <c r="EC102" i="3"/>
  <c r="EB102" i="3"/>
  <c r="EA102" i="3"/>
  <c r="DZ102" i="3"/>
  <c r="DY102" i="3"/>
  <c r="DX102" i="3"/>
  <c r="DW102" i="3"/>
  <c r="DV102" i="3"/>
  <c r="DU102" i="3"/>
  <c r="DT102" i="3"/>
  <c r="DR102" i="3"/>
  <c r="DQ102" i="3"/>
  <c r="DP102" i="3"/>
  <c r="DO102" i="3"/>
  <c r="DN102" i="3"/>
  <c r="DM102" i="3"/>
  <c r="DL102" i="3"/>
  <c r="DK102" i="3"/>
  <c r="DJ102" i="3"/>
  <c r="DI102" i="3"/>
  <c r="DH102" i="3"/>
  <c r="DG102" i="3"/>
  <c r="DF102" i="3"/>
  <c r="DE102" i="3"/>
  <c r="DD102" i="3"/>
  <c r="DC102" i="3"/>
  <c r="DB102" i="3"/>
  <c r="DA102" i="3"/>
  <c r="CZ103" i="3"/>
  <c r="CZ102" i="3"/>
  <c r="FG101" i="3"/>
  <c r="ER101" i="3"/>
  <c r="FG100" i="3"/>
  <c r="FG99" i="3"/>
  <c r="FC99" i="3"/>
  <c r="FG98" i="3"/>
  <c r="EG97" i="3"/>
  <c r="EY97" i="3" s="1"/>
  <c r="DJ97" i="3"/>
  <c r="EX97" i="3" s="1"/>
  <c r="DG97" i="3"/>
  <c r="EW97" i="3" s="1"/>
  <c r="DI97" i="3"/>
  <c r="EU97" i="3" s="1"/>
  <c r="DF97" i="3"/>
  <c r="ET97" i="3" s="1"/>
  <c r="EQ97" i="3"/>
  <c r="EP97" i="3"/>
  <c r="EO97" i="3"/>
  <c r="EL97" i="3"/>
  <c r="EK97" i="3"/>
  <c r="EF97" i="3"/>
  <c r="EE97" i="3"/>
  <c r="ED97" i="3"/>
  <c r="EC97" i="3"/>
  <c r="EB97" i="3"/>
  <c r="EA97" i="3"/>
  <c r="DZ97" i="3"/>
  <c r="DY97" i="3"/>
  <c r="DX97" i="3"/>
  <c r="DW97" i="3"/>
  <c r="DV97" i="3"/>
  <c r="DU97" i="3"/>
  <c r="DT97" i="3"/>
  <c r="DS97" i="3"/>
  <c r="DR97" i="3"/>
  <c r="DQ97" i="3"/>
  <c r="DP97" i="3"/>
  <c r="DO97" i="3"/>
  <c r="DN97" i="3"/>
  <c r="DM97" i="3"/>
  <c r="DL97" i="3"/>
  <c r="DK97" i="3"/>
  <c r="DH97" i="3"/>
  <c r="DE97" i="3"/>
  <c r="DD97" i="3"/>
  <c r="DC97" i="3"/>
  <c r="EO96" i="3"/>
  <c r="EC96" i="3"/>
  <c r="EB96" i="3"/>
  <c r="DM76" i="3"/>
  <c r="DA96" i="3"/>
  <c r="CZ96" i="3"/>
  <c r="E42" i="4"/>
  <c r="E80" i="3"/>
  <c r="DM87" i="3"/>
  <c r="DN87" i="3" s="1"/>
  <c r="E12" i="4"/>
  <c r="E13" i="4"/>
  <c r="E14" i="4"/>
  <c r="E15" i="4"/>
  <c r="DK91" i="3"/>
  <c r="DL91" i="3" s="1"/>
  <c r="DK87" i="3"/>
  <c r="DL87" i="3" s="1"/>
  <c r="F617" i="3"/>
  <c r="F618" i="3" s="1"/>
  <c r="F619" i="3" s="1"/>
  <c r="F620" i="3" s="1"/>
  <c r="F621" i="3" s="1"/>
  <c r="F622" i="3" s="1"/>
  <c r="F629" i="3"/>
  <c r="G629" i="3" s="1"/>
  <c r="F628" i="3"/>
  <c r="G628" i="3" s="1"/>
  <c r="F627" i="3"/>
  <c r="G627" i="3" s="1"/>
  <c r="F626" i="3"/>
  <c r="G626" i="3" s="1"/>
  <c r="F625" i="3"/>
  <c r="G625" i="3" s="1"/>
  <c r="F624" i="3"/>
  <c r="G624" i="3" s="1"/>
  <c r="DR41" i="3"/>
  <c r="DS41" i="3" s="1"/>
  <c r="DR40" i="3"/>
  <c r="DS40" i="3" s="1"/>
  <c r="D15" i="4"/>
  <c r="D14" i="4"/>
  <c r="D13" i="4"/>
  <c r="D12" i="4"/>
  <c r="C555" i="4"/>
  <c r="E555" i="4" s="1"/>
  <c r="C396" i="4"/>
  <c r="G11" i="4"/>
  <c r="E46" i="4"/>
  <c r="D27" i="4"/>
  <c r="D23" i="4"/>
  <c r="D19" i="4"/>
  <c r="D10" i="4"/>
  <c r="D7" i="4"/>
  <c r="CT201" i="3"/>
  <c r="CS201" i="3" s="1"/>
  <c r="CS202" i="3" s="1"/>
  <c r="G555" i="4" l="1"/>
  <c r="C48" i="4"/>
  <c r="CS151" i="3"/>
  <c r="CS152" i="3" s="1"/>
  <c r="Z34" i="18"/>
  <c r="X30" i="18"/>
  <c r="X31" i="18"/>
  <c r="X33" i="18"/>
  <c r="Y30" i="18"/>
  <c r="N29" i="18" s="1"/>
  <c r="Y31" i="18"/>
  <c r="N30" i="18" s="1"/>
  <c r="Y33" i="18"/>
  <c r="N32" i="18" s="1"/>
  <c r="Z33" i="18"/>
  <c r="W31" i="18"/>
  <c r="Z31" i="18"/>
  <c r="X34" i="18"/>
  <c r="W30" i="18"/>
  <c r="W33" i="18"/>
  <c r="Z30" i="18"/>
  <c r="Y34" i="18"/>
  <c r="N33" i="18" s="1"/>
  <c r="X109" i="18"/>
  <c r="M108" i="18" s="1"/>
  <c r="X105" i="18"/>
  <c r="M104" i="18" s="1"/>
  <c r="T108" i="18"/>
  <c r="T106" i="18"/>
  <c r="Y108" i="18"/>
  <c r="Y106" i="18"/>
  <c r="Q108" i="18"/>
  <c r="Q106" i="18"/>
  <c r="Z109" i="18"/>
  <c r="Z105" i="18"/>
  <c r="V108" i="18"/>
  <c r="V106" i="18"/>
  <c r="R109" i="18"/>
  <c r="R105" i="18"/>
  <c r="W108" i="18"/>
  <c r="W106" i="18"/>
  <c r="S109" i="18"/>
  <c r="H108" i="18" s="1"/>
  <c r="S105" i="18"/>
  <c r="H104" i="18" s="1"/>
  <c r="X83" i="18"/>
  <c r="M82" i="18" s="1"/>
  <c r="X81" i="18"/>
  <c r="M80" i="18" s="1"/>
  <c r="T84" i="18"/>
  <c r="T80" i="18"/>
  <c r="Y84" i="18"/>
  <c r="Y80" i="18"/>
  <c r="Q84" i="18"/>
  <c r="Q80" i="18"/>
  <c r="Z83" i="18"/>
  <c r="Z81" i="18"/>
  <c r="V84" i="18"/>
  <c r="V80" i="18"/>
  <c r="R83" i="18"/>
  <c r="R81" i="18"/>
  <c r="W84" i="18"/>
  <c r="W80" i="18"/>
  <c r="S83" i="18"/>
  <c r="H82" i="18" s="1"/>
  <c r="S81" i="18"/>
  <c r="H80" i="18" s="1"/>
  <c r="X59" i="18"/>
  <c r="M58" i="18" s="1"/>
  <c r="X55" i="18"/>
  <c r="M54" i="18" s="1"/>
  <c r="T58" i="18"/>
  <c r="T56" i="18"/>
  <c r="Y58" i="18"/>
  <c r="Y56" i="18"/>
  <c r="U59" i="18"/>
  <c r="U55" i="18"/>
  <c r="Q58" i="18"/>
  <c r="Q56" i="18"/>
  <c r="Z59" i="18"/>
  <c r="Z55" i="18"/>
  <c r="V58" i="18"/>
  <c r="V56" i="18"/>
  <c r="R59" i="18"/>
  <c r="R55" i="18"/>
  <c r="W58" i="18"/>
  <c r="W56" i="18"/>
  <c r="S59" i="18"/>
  <c r="S55" i="18"/>
  <c r="W34" i="18"/>
  <c r="X108" i="18"/>
  <c r="M107" i="18" s="1"/>
  <c r="X106" i="18"/>
  <c r="M105" i="18" s="1"/>
  <c r="T109" i="18"/>
  <c r="T105" i="18"/>
  <c r="Y109" i="18"/>
  <c r="Y105" i="18"/>
  <c r="Q109" i="18"/>
  <c r="Q105" i="18"/>
  <c r="Z108" i="18"/>
  <c r="Z106" i="18"/>
  <c r="V109" i="18"/>
  <c r="V105" i="18"/>
  <c r="R108" i="18"/>
  <c r="R106" i="18"/>
  <c r="W109" i="18"/>
  <c r="W105" i="18"/>
  <c r="S108" i="18"/>
  <c r="H107" i="18" s="1"/>
  <c r="S106" i="18"/>
  <c r="H105" i="18" s="1"/>
  <c r="X84" i="18"/>
  <c r="M83" i="18" s="1"/>
  <c r="X80" i="18"/>
  <c r="M79" i="18" s="1"/>
  <c r="T83" i="18"/>
  <c r="T81" i="18"/>
  <c r="Y83" i="18"/>
  <c r="Y81" i="18"/>
  <c r="Q83" i="18"/>
  <c r="Q81" i="18"/>
  <c r="Z84" i="18"/>
  <c r="Z80" i="18"/>
  <c r="V83" i="18"/>
  <c r="V81" i="18"/>
  <c r="R84" i="18"/>
  <c r="R80" i="18"/>
  <c r="W83" i="18"/>
  <c r="W81" i="18"/>
  <c r="S84" i="18"/>
  <c r="H83" i="18" s="1"/>
  <c r="S80" i="18"/>
  <c r="H79" i="18" s="1"/>
  <c r="X58" i="18"/>
  <c r="M57" i="18" s="1"/>
  <c r="X56" i="18"/>
  <c r="M55" i="18" s="1"/>
  <c r="T59" i="18"/>
  <c r="T55" i="18"/>
  <c r="Y59" i="18"/>
  <c r="Y55" i="18"/>
  <c r="U58" i="18"/>
  <c r="U56" i="18"/>
  <c r="Q59" i="18"/>
  <c r="Q55" i="18"/>
  <c r="Z58" i="18"/>
  <c r="Z56" i="18"/>
  <c r="V59" i="18"/>
  <c r="V55" i="18"/>
  <c r="R58" i="18"/>
  <c r="R56" i="18"/>
  <c r="W59" i="18"/>
  <c r="W55" i="18"/>
  <c r="S58" i="18"/>
  <c r="S56" i="18"/>
  <c r="R33" i="18"/>
  <c r="R31" i="18"/>
  <c r="S34" i="18"/>
  <c r="S30" i="18"/>
  <c r="U33" i="18"/>
  <c r="U31" i="18"/>
  <c r="T34" i="18"/>
  <c r="I33" i="18" s="1"/>
  <c r="T30" i="18"/>
  <c r="I29" i="18" s="1"/>
  <c r="Q33" i="18"/>
  <c r="R34" i="18"/>
  <c r="R30" i="18"/>
  <c r="U34" i="18"/>
  <c r="U30" i="18"/>
  <c r="T33" i="18"/>
  <c r="I32" i="18" s="1"/>
  <c r="T31" i="18"/>
  <c r="I30" i="18" s="1"/>
  <c r="Q34" i="18"/>
  <c r="Q30" i="18"/>
  <c r="Q31" i="18"/>
  <c r="S33" i="18"/>
  <c r="S31" i="18"/>
  <c r="R10" i="18"/>
  <c r="G10" i="18" s="1"/>
  <c r="R7" i="18"/>
  <c r="G7" i="18" s="1"/>
  <c r="R6" i="18"/>
  <c r="G6" i="18" s="1"/>
  <c r="R9" i="18"/>
  <c r="G9" i="18" s="1"/>
  <c r="S9" i="18"/>
  <c r="H9" i="18" s="1"/>
  <c r="S10" i="18"/>
  <c r="H10" i="18" s="1"/>
  <c r="S6" i="18"/>
  <c r="H6" i="18" s="1"/>
  <c r="S7" i="18"/>
  <c r="H7" i="18" s="1"/>
  <c r="FD69" i="3"/>
  <c r="FD66" i="3"/>
  <c r="FD63" i="3"/>
  <c r="FD60" i="3"/>
  <c r="FD57" i="3"/>
  <c r="FD51" i="3"/>
  <c r="FD48" i="3"/>
  <c r="FD45" i="3"/>
  <c r="FD42" i="3"/>
  <c r="O596" i="14"/>
  <c r="FD54" i="3"/>
  <c r="W206" i="3"/>
  <c r="BY40" i="15"/>
  <c r="BY41" i="15" s="1"/>
  <c r="BY34" i="15"/>
  <c r="BY35" i="15" s="1"/>
  <c r="BY16" i="15"/>
  <c r="BY17" i="15" s="1"/>
  <c r="CC89" i="15"/>
  <c r="CC90" i="15" s="1"/>
  <c r="CC81" i="15"/>
  <c r="CC82" i="15" s="1"/>
  <c r="CC73" i="15"/>
  <c r="CC74" i="15" s="1"/>
  <c r="CC65" i="15"/>
  <c r="CC66" i="15" s="1"/>
  <c r="CC57" i="15"/>
  <c r="CC58" i="15" s="1"/>
  <c r="BY28" i="15"/>
  <c r="BY29" i="15" s="1"/>
  <c r="BY22" i="15"/>
  <c r="BY23" i="15" s="1"/>
  <c r="CC89" i="14"/>
  <c r="CC90" i="14" s="1"/>
  <c r="CC81" i="14"/>
  <c r="CC82" i="14" s="1"/>
  <c r="CC73" i="14"/>
  <c r="CC74" i="14" s="1"/>
  <c r="CC65" i="14"/>
  <c r="CC66" i="14" s="1"/>
  <c r="CC57" i="14"/>
  <c r="CC58" i="14" s="1"/>
  <c r="BY34" i="14"/>
  <c r="BY35" i="14" s="1"/>
  <c r="BY28" i="14"/>
  <c r="BY29" i="14" s="1"/>
  <c r="BY16" i="14"/>
  <c r="BY17" i="14" s="1"/>
  <c r="BY40" i="14"/>
  <c r="BY41" i="14" s="1"/>
  <c r="BY22" i="14"/>
  <c r="BY23" i="14" s="1"/>
  <c r="FE66" i="3"/>
  <c r="FE63" i="3"/>
  <c r="FE60" i="3"/>
  <c r="FE57" i="3"/>
  <c r="FE69" i="3"/>
  <c r="FE54" i="3"/>
  <c r="W207" i="3"/>
  <c r="FE51" i="3"/>
  <c r="FE48" i="3"/>
  <c r="FE45" i="3"/>
  <c r="FE42" i="3"/>
  <c r="O597" i="14"/>
  <c r="BZ28" i="15"/>
  <c r="BZ29" i="15" s="1"/>
  <c r="BZ22" i="15"/>
  <c r="BZ23" i="15" s="1"/>
  <c r="BZ40" i="15"/>
  <c r="BZ41" i="15" s="1"/>
  <c r="BZ34" i="15"/>
  <c r="BZ35" i="15" s="1"/>
  <c r="BZ16" i="15"/>
  <c r="BZ17" i="15" s="1"/>
  <c r="CD89" i="15"/>
  <c r="CD90" i="15" s="1"/>
  <c r="CD81" i="15"/>
  <c r="CD82" i="15" s="1"/>
  <c r="CD73" i="15"/>
  <c r="CD74" i="15" s="1"/>
  <c r="CD65" i="15"/>
  <c r="CD66" i="15" s="1"/>
  <c r="CD57" i="15"/>
  <c r="CD58" i="15" s="1"/>
  <c r="CD81" i="14"/>
  <c r="CD82" i="14" s="1"/>
  <c r="CD73" i="14"/>
  <c r="CD74" i="14" s="1"/>
  <c r="CD65" i="14"/>
  <c r="CD66" i="14" s="1"/>
  <c r="CD57" i="14"/>
  <c r="CD58" i="14" s="1"/>
  <c r="CD89" i="14"/>
  <c r="CD90" i="14" s="1"/>
  <c r="BZ40" i="14"/>
  <c r="BZ41" i="14" s="1"/>
  <c r="BZ22" i="14"/>
  <c r="BZ23" i="14" s="1"/>
  <c r="BZ34" i="14"/>
  <c r="BZ35" i="14" s="1"/>
  <c r="BZ28" i="14"/>
  <c r="BZ29" i="14" s="1"/>
  <c r="BZ16" i="14"/>
  <c r="BZ17" i="14" s="1"/>
  <c r="G9" i="4"/>
  <c r="F60" i="4" s="1"/>
  <c r="CX52" i="3" s="1"/>
  <c r="F16" i="3"/>
  <c r="AY428" i="14"/>
  <c r="AT428" i="14" s="1"/>
  <c r="AT427" i="14"/>
  <c r="CV68" i="3"/>
  <c r="CV65" i="3"/>
  <c r="CV64" i="3"/>
  <c r="CV59" i="3"/>
  <c r="CV58" i="3"/>
  <c r="CV56" i="3"/>
  <c r="CV55" i="3"/>
  <c r="CV67" i="3"/>
  <c r="CV62" i="3"/>
  <c r="CV61" i="3"/>
  <c r="CV53" i="3"/>
  <c r="CV52" i="3"/>
  <c r="CV47" i="3"/>
  <c r="CV46" i="3"/>
  <c r="CV50" i="3"/>
  <c r="CV49" i="3"/>
  <c r="CV44" i="3"/>
  <c r="CV43" i="3"/>
  <c r="E48" i="4"/>
  <c r="CX53" i="3"/>
  <c r="CX47" i="3"/>
  <c r="DW52" i="3"/>
  <c r="DW49" i="3"/>
  <c r="DX46" i="3"/>
  <c r="DX53" i="3"/>
  <c r="DX47" i="3"/>
  <c r="DW43" i="3"/>
  <c r="DX35" i="3"/>
  <c r="DX36" i="3"/>
  <c r="S33" i="14"/>
  <c r="T33" i="14" s="1"/>
  <c r="P33" i="14" s="1"/>
  <c r="F14" i="3"/>
  <c r="DF91" i="3"/>
  <c r="DE91" i="3"/>
  <c r="DK19" i="3"/>
  <c r="DM19" i="3"/>
  <c r="DI19" i="3"/>
  <c r="DM17" i="3"/>
  <c r="DI17" i="3"/>
  <c r="DK17" i="3"/>
  <c r="DK25" i="3"/>
  <c r="DM25" i="3"/>
  <c r="DI25" i="3"/>
  <c r="DK29" i="3"/>
  <c r="DM29" i="3"/>
  <c r="DI29" i="3"/>
  <c r="DM39" i="3"/>
  <c r="DI39" i="3"/>
  <c r="DK39" i="3"/>
  <c r="EV109" i="3"/>
  <c r="DP109" i="3"/>
  <c r="DR109" i="3"/>
  <c r="DF81" i="3"/>
  <c r="DE81" i="3"/>
  <c r="DF83" i="3"/>
  <c r="DE83" i="3"/>
  <c r="DR103" i="3"/>
  <c r="EV103" i="3"/>
  <c r="DP103" i="3"/>
  <c r="DM9" i="3"/>
  <c r="DI9" i="3"/>
  <c r="DK9" i="3"/>
  <c r="DM13" i="3"/>
  <c r="DI13" i="3"/>
  <c r="DK13" i="3"/>
  <c r="DK15" i="3"/>
  <c r="DM15" i="3"/>
  <c r="DI15" i="3"/>
  <c r="DM23" i="3"/>
  <c r="DI23" i="3"/>
  <c r="DK23" i="3"/>
  <c r="DM27" i="3"/>
  <c r="DI27" i="3"/>
  <c r="DK27" i="3"/>
  <c r="DM35" i="3"/>
  <c r="DI35" i="3"/>
  <c r="DK35" i="3"/>
  <c r="DK37" i="3"/>
  <c r="DM37" i="3"/>
  <c r="DI37" i="3"/>
  <c r="DF85" i="3"/>
  <c r="DE85" i="3"/>
  <c r="DE87" i="3"/>
  <c r="DF87" i="3"/>
  <c r="DE80" i="3"/>
  <c r="DF80" i="3"/>
  <c r="DE79" i="3"/>
  <c r="DF79" i="3"/>
  <c r="DM33" i="3"/>
  <c r="DK33" i="3"/>
  <c r="DI33" i="3"/>
  <c r="DM21" i="3"/>
  <c r="DK21" i="3"/>
  <c r="DI21" i="3"/>
  <c r="DM31" i="3"/>
  <c r="DK31" i="3"/>
  <c r="DI31" i="3"/>
  <c r="DM11" i="3"/>
  <c r="DK11" i="3"/>
  <c r="DI11" i="3"/>
  <c r="F10" i="3"/>
  <c r="DM41" i="3"/>
  <c r="DK41" i="3"/>
  <c r="DI41" i="3"/>
  <c r="DR101" i="3"/>
  <c r="DN101" i="3"/>
  <c r="EV101" i="3"/>
  <c r="DP101" i="3"/>
  <c r="EV99" i="3"/>
  <c r="DP99" i="3"/>
  <c r="DR99" i="3"/>
  <c r="DN99" i="3"/>
  <c r="P73" i="15"/>
  <c r="K274" i="1"/>
  <c r="K22" i="1" s="1"/>
  <c r="S397" i="18" s="1"/>
  <c r="I274" i="1"/>
  <c r="I22" i="1" s="1"/>
  <c r="Q397" i="18" s="1"/>
  <c r="G274" i="1"/>
  <c r="G22" i="1" s="1"/>
  <c r="O397" i="18" s="1"/>
  <c r="J273" i="1"/>
  <c r="J21" i="1" s="1"/>
  <c r="R396" i="18" s="1"/>
  <c r="H273" i="1"/>
  <c r="H21" i="1" s="1"/>
  <c r="P396" i="18" s="1"/>
  <c r="K272" i="1"/>
  <c r="K20" i="1" s="1"/>
  <c r="S395" i="18" s="1"/>
  <c r="I272" i="1"/>
  <c r="I20" i="1" s="1"/>
  <c r="Q395" i="18" s="1"/>
  <c r="G272" i="1"/>
  <c r="G20" i="1" s="1"/>
  <c r="O395" i="18" s="1"/>
  <c r="J271" i="1"/>
  <c r="J19" i="1" s="1"/>
  <c r="R394" i="18" s="1"/>
  <c r="H271" i="1"/>
  <c r="H19" i="1" s="1"/>
  <c r="P394" i="18" s="1"/>
  <c r="K270" i="1"/>
  <c r="K18" i="1" s="1"/>
  <c r="S393" i="18" s="1"/>
  <c r="I270" i="1"/>
  <c r="I18" i="1" s="1"/>
  <c r="Q393" i="18" s="1"/>
  <c r="G270" i="1"/>
  <c r="G18" i="1" s="1"/>
  <c r="O393" i="18" s="1"/>
  <c r="J269" i="1"/>
  <c r="J17" i="1" s="1"/>
  <c r="R392" i="18" s="1"/>
  <c r="H269" i="1"/>
  <c r="H17" i="1" s="1"/>
  <c r="P392" i="18" s="1"/>
  <c r="K268" i="1"/>
  <c r="K16" i="1" s="1"/>
  <c r="S391" i="18" s="1"/>
  <c r="I268" i="1"/>
  <c r="I16" i="1" s="1"/>
  <c r="Q391" i="18" s="1"/>
  <c r="G268" i="1"/>
  <c r="G16" i="1" s="1"/>
  <c r="O391" i="18" s="1"/>
  <c r="J267" i="1"/>
  <c r="J15" i="1" s="1"/>
  <c r="R390" i="18" s="1"/>
  <c r="H267" i="1"/>
  <c r="H15" i="1" s="1"/>
  <c r="P390" i="18" s="1"/>
  <c r="K266" i="1"/>
  <c r="K14" i="1" s="1"/>
  <c r="S389" i="18" s="1"/>
  <c r="I266" i="1"/>
  <c r="I14" i="1" s="1"/>
  <c r="Q389" i="18" s="1"/>
  <c r="G266" i="1"/>
  <c r="G14" i="1" s="1"/>
  <c r="O389" i="18" s="1"/>
  <c r="J265" i="1"/>
  <c r="J13" i="1" s="1"/>
  <c r="R388" i="18" s="1"/>
  <c r="H265" i="1"/>
  <c r="H13" i="1" s="1"/>
  <c r="P388" i="18" s="1"/>
  <c r="K264" i="1"/>
  <c r="K12" i="1" s="1"/>
  <c r="S387" i="18" s="1"/>
  <c r="I264" i="1"/>
  <c r="I12" i="1" s="1"/>
  <c r="Q387" i="18" s="1"/>
  <c r="G264" i="1"/>
  <c r="G12" i="1" s="1"/>
  <c r="O387" i="18" s="1"/>
  <c r="J263" i="1"/>
  <c r="J11" i="1" s="1"/>
  <c r="R386" i="18" s="1"/>
  <c r="H263" i="1"/>
  <c r="H11" i="1" s="1"/>
  <c r="P386" i="18" s="1"/>
  <c r="K262" i="1"/>
  <c r="K10" i="1" s="1"/>
  <c r="S385" i="18" s="1"/>
  <c r="I262" i="1"/>
  <c r="I10" i="1" s="1"/>
  <c r="Q385" i="18" s="1"/>
  <c r="G262" i="1"/>
  <c r="G10" i="1" s="1"/>
  <c r="O385" i="18" s="1"/>
  <c r="J261" i="1"/>
  <c r="J9" i="1" s="1"/>
  <c r="R384" i="18" s="1"/>
  <c r="H261" i="1"/>
  <c r="H9" i="1" s="1"/>
  <c r="P384" i="18" s="1"/>
  <c r="K260" i="1"/>
  <c r="K8" i="1" s="1"/>
  <c r="S383" i="18" s="1"/>
  <c r="I260" i="1"/>
  <c r="I8" i="1" s="1"/>
  <c r="Q383" i="18" s="1"/>
  <c r="G260" i="1"/>
  <c r="G8" i="1" s="1"/>
  <c r="O383" i="18" s="1"/>
  <c r="J259" i="1"/>
  <c r="J7" i="1" s="1"/>
  <c r="R382" i="18" s="1"/>
  <c r="H259" i="1"/>
  <c r="H7" i="1" s="1"/>
  <c r="P105" i="18" s="1"/>
  <c r="E104" i="18" s="1"/>
  <c r="K258" i="1"/>
  <c r="K6" i="1" s="1"/>
  <c r="I258" i="1"/>
  <c r="I6" i="1" s="1"/>
  <c r="P81" i="18" s="1"/>
  <c r="E80" i="18" s="1"/>
  <c r="G258" i="1"/>
  <c r="G6" i="1" s="1"/>
  <c r="V33" i="18" s="1"/>
  <c r="K32" i="18" s="1"/>
  <c r="F273" i="1"/>
  <c r="F21" i="1" s="1"/>
  <c r="K396" i="18" s="1"/>
  <c r="F271" i="1"/>
  <c r="F19" i="1" s="1"/>
  <c r="K394" i="18" s="1"/>
  <c r="F269" i="1"/>
  <c r="F17" i="1" s="1"/>
  <c r="K392" i="18" s="1"/>
  <c r="F267" i="1"/>
  <c r="F15" i="1" s="1"/>
  <c r="K390" i="18" s="1"/>
  <c r="F265" i="1"/>
  <c r="F13" i="1" s="1"/>
  <c r="K388" i="18" s="1"/>
  <c r="F263" i="1"/>
  <c r="F11" i="1" s="1"/>
  <c r="K386" i="18" s="1"/>
  <c r="F261" i="1"/>
  <c r="F9" i="1" s="1"/>
  <c r="K384" i="18" s="1"/>
  <c r="F259" i="1"/>
  <c r="F7" i="1" s="1"/>
  <c r="U84" i="18" s="1"/>
  <c r="J83" i="18" s="1"/>
  <c r="J274" i="1"/>
  <c r="J22" i="1" s="1"/>
  <c r="R397" i="18" s="1"/>
  <c r="H274" i="1"/>
  <c r="H22" i="1" s="1"/>
  <c r="P397" i="18" s="1"/>
  <c r="K273" i="1"/>
  <c r="K21" i="1" s="1"/>
  <c r="S396" i="18" s="1"/>
  <c r="I273" i="1"/>
  <c r="I21" i="1" s="1"/>
  <c r="Q396" i="18" s="1"/>
  <c r="G273" i="1"/>
  <c r="G21" i="1" s="1"/>
  <c r="O396" i="18" s="1"/>
  <c r="J272" i="1"/>
  <c r="J20" i="1" s="1"/>
  <c r="R395" i="18" s="1"/>
  <c r="H272" i="1"/>
  <c r="H20" i="1" s="1"/>
  <c r="P395" i="18" s="1"/>
  <c r="K271" i="1"/>
  <c r="K19" i="1" s="1"/>
  <c r="S394" i="18" s="1"/>
  <c r="I271" i="1"/>
  <c r="I19" i="1" s="1"/>
  <c r="Q394" i="18" s="1"/>
  <c r="G271" i="1"/>
  <c r="G19" i="1" s="1"/>
  <c r="O394" i="18" s="1"/>
  <c r="J270" i="1"/>
  <c r="J18" i="1" s="1"/>
  <c r="R393" i="18" s="1"/>
  <c r="H270" i="1"/>
  <c r="H18" i="1" s="1"/>
  <c r="P393" i="18" s="1"/>
  <c r="K269" i="1"/>
  <c r="K17" i="1" s="1"/>
  <c r="S392" i="18" s="1"/>
  <c r="I269" i="1"/>
  <c r="I17" i="1" s="1"/>
  <c r="Q392" i="18" s="1"/>
  <c r="G269" i="1"/>
  <c r="G17" i="1" s="1"/>
  <c r="O392" i="18" s="1"/>
  <c r="J268" i="1"/>
  <c r="J16" i="1" s="1"/>
  <c r="R391" i="18" s="1"/>
  <c r="H268" i="1"/>
  <c r="H16" i="1" s="1"/>
  <c r="P391" i="18" s="1"/>
  <c r="K267" i="1"/>
  <c r="K15" i="1" s="1"/>
  <c r="S390" i="18" s="1"/>
  <c r="I267" i="1"/>
  <c r="I15" i="1" s="1"/>
  <c r="Q390" i="18" s="1"/>
  <c r="G267" i="1"/>
  <c r="G15" i="1" s="1"/>
  <c r="O390" i="18" s="1"/>
  <c r="J266" i="1"/>
  <c r="J14" i="1" s="1"/>
  <c r="R389" i="18" s="1"/>
  <c r="H266" i="1"/>
  <c r="H14" i="1" s="1"/>
  <c r="P389" i="18" s="1"/>
  <c r="K265" i="1"/>
  <c r="K13" i="1" s="1"/>
  <c r="S388" i="18" s="1"/>
  <c r="I265" i="1"/>
  <c r="I13" i="1" s="1"/>
  <c r="Q388" i="18" s="1"/>
  <c r="G265" i="1"/>
  <c r="G13" i="1" s="1"/>
  <c r="O388" i="18" s="1"/>
  <c r="J264" i="1"/>
  <c r="J12" i="1" s="1"/>
  <c r="R387" i="18" s="1"/>
  <c r="H264" i="1"/>
  <c r="H12" i="1" s="1"/>
  <c r="P387" i="18" s="1"/>
  <c r="K263" i="1"/>
  <c r="K11" i="1" s="1"/>
  <c r="S386" i="18" s="1"/>
  <c r="I263" i="1"/>
  <c r="I11" i="1" s="1"/>
  <c r="Q386" i="18" s="1"/>
  <c r="G263" i="1"/>
  <c r="G11" i="1" s="1"/>
  <c r="O386" i="18" s="1"/>
  <c r="J262" i="1"/>
  <c r="J10" i="1" s="1"/>
  <c r="R385" i="18" s="1"/>
  <c r="H262" i="1"/>
  <c r="H10" i="1" s="1"/>
  <c r="P385" i="18" s="1"/>
  <c r="K261" i="1"/>
  <c r="K9" i="1" s="1"/>
  <c r="S384" i="18" s="1"/>
  <c r="I261" i="1"/>
  <c r="I9" i="1" s="1"/>
  <c r="Q384" i="18" s="1"/>
  <c r="G261" i="1"/>
  <c r="G9" i="1" s="1"/>
  <c r="O384" i="18" s="1"/>
  <c r="J260" i="1"/>
  <c r="J8" i="1" s="1"/>
  <c r="R383" i="18" s="1"/>
  <c r="H260" i="1"/>
  <c r="H8" i="1" s="1"/>
  <c r="P383" i="18" s="1"/>
  <c r="K259" i="1"/>
  <c r="K7" i="1" s="1"/>
  <c r="I259" i="1"/>
  <c r="I7" i="1" s="1"/>
  <c r="U81" i="18" s="1"/>
  <c r="J80" i="18" s="1"/>
  <c r="G259" i="1"/>
  <c r="G7" i="1" s="1"/>
  <c r="P108" i="18" s="1"/>
  <c r="E107" i="18" s="1"/>
  <c r="J258" i="1"/>
  <c r="J6" i="1" s="1"/>
  <c r="R381" i="18" s="1"/>
  <c r="H258" i="1"/>
  <c r="H6" i="1" s="1"/>
  <c r="V30" i="18" s="1"/>
  <c r="K29" i="18" s="1"/>
  <c r="F274" i="1"/>
  <c r="F22" i="1" s="1"/>
  <c r="K397" i="18" s="1"/>
  <c r="F272" i="1"/>
  <c r="F20" i="1" s="1"/>
  <c r="K395" i="18" s="1"/>
  <c r="F270" i="1"/>
  <c r="F18" i="1" s="1"/>
  <c r="K393" i="18" s="1"/>
  <c r="F268" i="1"/>
  <c r="F16" i="1" s="1"/>
  <c r="K391" i="18" s="1"/>
  <c r="F266" i="1"/>
  <c r="F14" i="1" s="1"/>
  <c r="K389" i="18" s="1"/>
  <c r="F264" i="1"/>
  <c r="F12" i="1" s="1"/>
  <c r="K387" i="18" s="1"/>
  <c r="F262" i="1"/>
  <c r="F10" i="1" s="1"/>
  <c r="K385" i="18" s="1"/>
  <c r="F260" i="1"/>
  <c r="F8" i="1" s="1"/>
  <c r="K383" i="18" s="1"/>
  <c r="F258" i="1"/>
  <c r="F6" i="1" s="1"/>
  <c r="V34" i="18" s="1"/>
  <c r="K33" i="18" s="1"/>
  <c r="AH18" i="3"/>
  <c r="AE18" i="3"/>
  <c r="AE16" i="3"/>
  <c r="AH16" i="3"/>
  <c r="AE24" i="3"/>
  <c r="AH24" i="3"/>
  <c r="AE28" i="3"/>
  <c r="AH28" i="3"/>
  <c r="AH38" i="3"/>
  <c r="AE38" i="3"/>
  <c r="AE12" i="3"/>
  <c r="AH12" i="3"/>
  <c r="AH22" i="3"/>
  <c r="AE22" i="3"/>
  <c r="AH26" i="3"/>
  <c r="AE26" i="3"/>
  <c r="AH34" i="3"/>
  <c r="AE34" i="3"/>
  <c r="DX40" i="3"/>
  <c r="G24" i="4"/>
  <c r="K595" i="15" s="1"/>
  <c r="L595" i="15" s="1"/>
  <c r="DW101" i="3"/>
  <c r="DX101" i="3" s="1"/>
  <c r="G36" i="4"/>
  <c r="O604" i="3" s="1"/>
  <c r="G20" i="4"/>
  <c r="BV8" i="14" s="1"/>
  <c r="BX8" i="14" s="1"/>
  <c r="G15" i="4"/>
  <c r="CR334" i="3"/>
  <c r="CR380" i="3"/>
  <c r="CR381" i="3" s="1"/>
  <c r="CT334" i="3"/>
  <c r="CT380" i="3"/>
  <c r="CT381" i="3" s="1"/>
  <c r="CU389" i="3"/>
  <c r="CU392" i="3"/>
  <c r="CU391" i="3" s="1"/>
  <c r="CS389" i="3"/>
  <c r="CS392" i="3"/>
  <c r="CS391" i="3" s="1"/>
  <c r="CT335" i="3"/>
  <c r="CT429" i="3" s="1"/>
  <c r="CT430" i="3" s="1"/>
  <c r="CU337" i="3"/>
  <c r="CU334" i="3"/>
  <c r="CR335" i="3"/>
  <c r="CR429" i="3" s="1"/>
  <c r="CR430" i="3" s="1"/>
  <c r="CS337" i="3"/>
  <c r="CS334" i="3"/>
  <c r="CV41" i="3"/>
  <c r="F63" i="4"/>
  <c r="G63" i="4"/>
  <c r="O596" i="15"/>
  <c r="K596" i="15"/>
  <c r="L596" i="15" s="1"/>
  <c r="K596" i="14"/>
  <c r="L596" i="14" s="1"/>
  <c r="K602" i="3"/>
  <c r="L602" i="3" s="1"/>
  <c r="O602" i="3"/>
  <c r="DP89" i="3"/>
  <c r="CW89" i="3"/>
  <c r="EB89" i="3" s="1"/>
  <c r="DY89" i="3" s="1"/>
  <c r="DS89" i="3" s="1"/>
  <c r="DX89" i="3" s="1"/>
  <c r="L89" i="3" s="1"/>
  <c r="DD89" i="3" s="1"/>
  <c r="DP90" i="3"/>
  <c r="CW90" i="3"/>
  <c r="EB90" i="3" s="1"/>
  <c r="DY90" i="3" s="1"/>
  <c r="DS90" i="3" s="1"/>
  <c r="DP88" i="3"/>
  <c r="CW88" i="3"/>
  <c r="EB88" i="3" s="1"/>
  <c r="DY88" i="3" s="1"/>
  <c r="DS88" i="3" s="1"/>
  <c r="DX88" i="3" s="1"/>
  <c r="L88" i="3" s="1"/>
  <c r="DD88" i="3" s="1"/>
  <c r="DP87" i="3"/>
  <c r="EC87" i="3" s="1"/>
  <c r="CW87" i="3"/>
  <c r="AR343" i="14"/>
  <c r="AW344" i="14"/>
  <c r="AR344" i="14" s="1"/>
  <c r="O597" i="15"/>
  <c r="O594" i="15"/>
  <c r="K594" i="15"/>
  <c r="L594" i="15" s="1"/>
  <c r="K594" i="14"/>
  <c r="L594" i="14" s="1"/>
  <c r="DX10" i="3"/>
  <c r="DX16" i="3"/>
  <c r="DX28" i="3"/>
  <c r="EG103" i="3"/>
  <c r="CX40" i="3"/>
  <c r="E63" i="4"/>
  <c r="I3" i="18" s="1"/>
  <c r="DX9" i="3"/>
  <c r="O603" i="3"/>
  <c r="G6" i="4"/>
  <c r="DX15" i="3"/>
  <c r="DX27" i="3"/>
  <c r="AW429" i="15"/>
  <c r="AR429" i="15" s="1"/>
  <c r="AR428" i="15"/>
  <c r="AU440" i="15"/>
  <c r="AU437" i="15"/>
  <c r="AY430" i="15"/>
  <c r="AZ432" i="15"/>
  <c r="AZ429" i="15"/>
  <c r="AY337" i="15"/>
  <c r="AT337" i="15" s="1"/>
  <c r="AT336" i="15"/>
  <c r="AW338" i="15"/>
  <c r="AX340" i="15"/>
  <c r="AX337" i="15"/>
  <c r="AW384" i="15"/>
  <c r="AR384" i="15" s="1"/>
  <c r="AR383" i="15"/>
  <c r="AX384" i="15"/>
  <c r="AX387" i="15"/>
  <c r="AW385" i="15"/>
  <c r="AW430" i="15"/>
  <c r="AX432" i="15"/>
  <c r="AX429" i="15"/>
  <c r="AU392" i="15"/>
  <c r="AU395" i="15"/>
  <c r="AU394" i="15" s="1"/>
  <c r="AU376" i="15" s="1"/>
  <c r="AS392" i="15"/>
  <c r="AS395" i="15"/>
  <c r="AS394" i="15" s="1"/>
  <c r="AS376" i="15" s="1"/>
  <c r="AY429" i="15"/>
  <c r="AT429" i="15" s="1"/>
  <c r="AT428" i="15"/>
  <c r="AY384" i="15"/>
  <c r="AT384" i="15" s="1"/>
  <c r="AT383" i="15"/>
  <c r="AZ384" i="15"/>
  <c r="AZ387" i="15"/>
  <c r="AY385" i="15"/>
  <c r="AY338" i="15"/>
  <c r="AZ340" i="15"/>
  <c r="AZ337" i="15"/>
  <c r="AW337" i="15"/>
  <c r="AR337" i="15" s="1"/>
  <c r="AR336" i="15"/>
  <c r="AS440" i="15"/>
  <c r="AS437" i="15"/>
  <c r="AU346" i="15"/>
  <c r="AU343" i="15"/>
  <c r="AS346" i="15"/>
  <c r="AS343" i="15"/>
  <c r="AW429" i="14"/>
  <c r="AX431" i="14"/>
  <c r="AX428" i="14"/>
  <c r="AW428" i="14"/>
  <c r="AR428" i="14" s="1"/>
  <c r="AR427" i="14"/>
  <c r="AY429" i="14"/>
  <c r="AZ431" i="14"/>
  <c r="AZ428" i="14"/>
  <c r="AW382" i="14"/>
  <c r="AX384" i="14"/>
  <c r="AX381" i="14"/>
  <c r="AY381" i="14"/>
  <c r="AT381" i="14" s="1"/>
  <c r="AT380" i="14"/>
  <c r="AW381" i="14"/>
  <c r="AR381" i="14" s="1"/>
  <c r="AR380" i="14"/>
  <c r="AY382" i="14"/>
  <c r="AZ384" i="14"/>
  <c r="AZ381" i="14"/>
  <c r="O27" i="14"/>
  <c r="AT343" i="14"/>
  <c r="AY344" i="14"/>
  <c r="AT344" i="14" s="1"/>
  <c r="AU388" i="14"/>
  <c r="AU385" i="14"/>
  <c r="AS388" i="14"/>
  <c r="AS385" i="14"/>
  <c r="AZ342" i="14"/>
  <c r="AZ345" i="14"/>
  <c r="AY345" i="14" s="1"/>
  <c r="AX342" i="14"/>
  <c r="AX345" i="14"/>
  <c r="AW345" i="14" s="1"/>
  <c r="EB40" i="3"/>
  <c r="AS337" i="14"/>
  <c r="AS334" i="14"/>
  <c r="AU429" i="14"/>
  <c r="AU426" i="14"/>
  <c r="AU337" i="14"/>
  <c r="AU334" i="14"/>
  <c r="AS429" i="14"/>
  <c r="AS426" i="14"/>
  <c r="EN114" i="3"/>
  <c r="EN108" i="3"/>
  <c r="CT203" i="3"/>
  <c r="CT205" i="3" s="1"/>
  <c r="CT207" i="3" s="1"/>
  <c r="CU74" i="3"/>
  <c r="CT74" i="3" s="1"/>
  <c r="CU419" i="3"/>
  <c r="CS419" i="3"/>
  <c r="ET72" i="3"/>
  <c r="EU71" i="3" s="1"/>
  <c r="EU121" i="3" s="1"/>
  <c r="G57" i="4"/>
  <c r="D42" i="4"/>
  <c r="O600" i="3"/>
  <c r="K600" i="3"/>
  <c r="L600" i="3" s="1"/>
  <c r="DL76" i="3"/>
  <c r="DK126" i="3"/>
  <c r="DN108" i="3"/>
  <c r="DV108" i="3"/>
  <c r="EX108" i="3"/>
  <c r="FC108" i="3"/>
  <c r="DX109" i="3"/>
  <c r="DW109" i="3"/>
  <c r="FC109" i="3"/>
  <c r="EX114" i="3"/>
  <c r="FC114" i="3"/>
  <c r="DX115" i="3"/>
  <c r="DW115" i="3"/>
  <c r="FC115" i="3"/>
  <c r="CU91" i="3"/>
  <c r="CT91" i="3" s="1"/>
  <c r="CV248" i="3"/>
  <c r="DN109" i="3"/>
  <c r="DA112" i="3"/>
  <c r="CZ112" i="3" s="1"/>
  <c r="DA113" i="3"/>
  <c r="CZ113" i="3" s="1"/>
  <c r="EO113" i="3" s="1"/>
  <c r="EW113" i="3" s="1"/>
  <c r="EY113" i="3" s="1"/>
  <c r="DE76" i="3"/>
  <c r="DE126" i="3" s="1"/>
  <c r="DJ126" i="3"/>
  <c r="DX108" i="3"/>
  <c r="DW108" i="3"/>
  <c r="DX114" i="3"/>
  <c r="DW114" i="3"/>
  <c r="DV115" i="3"/>
  <c r="DN76" i="3"/>
  <c r="DM126" i="3"/>
  <c r="DA110" i="3"/>
  <c r="CZ110" i="3" s="1"/>
  <c r="DA123" i="3"/>
  <c r="CZ123" i="3" s="1"/>
  <c r="EO123" i="3" s="1"/>
  <c r="DA116" i="3"/>
  <c r="CZ116" i="3" s="1"/>
  <c r="EO116" i="3" s="1"/>
  <c r="CU92" i="3"/>
  <c r="CT92" i="3" s="1"/>
  <c r="DA122" i="3"/>
  <c r="CZ122" i="3" s="1"/>
  <c r="EO122" i="3" s="1"/>
  <c r="DA117" i="3"/>
  <c r="CZ117" i="3" s="1"/>
  <c r="EO117" i="3" s="1"/>
  <c r="DA111" i="3"/>
  <c r="CZ111" i="3" s="1"/>
  <c r="EO111" i="3" s="1"/>
  <c r="DA105" i="3"/>
  <c r="DA104" i="3"/>
  <c r="CU93" i="3"/>
  <c r="CU89" i="3"/>
  <c r="CT89" i="3" s="1"/>
  <c r="CU90" i="3"/>
  <c r="CT90" i="3" s="1"/>
  <c r="CU88" i="3"/>
  <c r="CT88" i="3" s="1"/>
  <c r="CU75" i="3"/>
  <c r="CT75" i="3" s="1"/>
  <c r="EQ109" i="3"/>
  <c r="EQ108" i="3"/>
  <c r="EQ115" i="3"/>
  <c r="EQ114" i="3"/>
  <c r="Z117" i="3"/>
  <c r="Z111" i="3"/>
  <c r="DA125" i="3"/>
  <c r="EK125" i="3"/>
  <c r="DA124" i="3"/>
  <c r="DA119" i="3"/>
  <c r="EK119" i="3"/>
  <c r="DA118" i="3"/>
  <c r="CQ116" i="3"/>
  <c r="DJ116" i="3"/>
  <c r="GA116" i="3"/>
  <c r="FU116" i="3" s="1"/>
  <c r="FN116" i="3" s="1"/>
  <c r="FU117" i="3"/>
  <c r="FN117" i="3" s="1"/>
  <c r="GB116" i="3"/>
  <c r="FV116" i="3" s="1"/>
  <c r="FO116" i="3" s="1"/>
  <c r="EW112" i="3"/>
  <c r="EY112" i="3" s="1"/>
  <c r="EX112" i="3"/>
  <c r="FA112" i="3" s="1"/>
  <c r="FB112" i="3" s="1"/>
  <c r="EP113" i="3"/>
  <c r="DA107" i="3"/>
  <c r="EK107" i="3"/>
  <c r="DA106" i="3"/>
  <c r="DF76" i="3"/>
  <c r="DF126" i="3" s="1"/>
  <c r="F76" i="3"/>
  <c r="FA114" i="3"/>
  <c r="DL108" i="3"/>
  <c r="DL109" i="3"/>
  <c r="DL115" i="3"/>
  <c r="DL114" i="3"/>
  <c r="EQ100" i="3"/>
  <c r="DA98" i="3"/>
  <c r="EP98" i="3" s="1"/>
  <c r="EK99" i="3"/>
  <c r="F73" i="3"/>
  <c r="CU73" i="3" s="1"/>
  <c r="CT73" i="3" s="1"/>
  <c r="DP114" i="3"/>
  <c r="F81" i="3"/>
  <c r="F82" i="3" s="1"/>
  <c r="F85" i="3"/>
  <c r="F86" i="3" s="1"/>
  <c r="CS205" i="3"/>
  <c r="CS206" i="3" s="1"/>
  <c r="CV40" i="3"/>
  <c r="CU87" i="3"/>
  <c r="CT87" i="3" s="1"/>
  <c r="DJ103" i="3"/>
  <c r="F100" i="3"/>
  <c r="DA101" i="3" s="1"/>
  <c r="CZ101" i="3" s="1"/>
  <c r="EO101" i="3" s="1"/>
  <c r="EW101" i="3" s="1"/>
  <c r="EY101" i="3" s="1"/>
  <c r="DS30" i="3"/>
  <c r="CT248" i="3"/>
  <c r="DV100" i="3"/>
  <c r="CV85" i="3"/>
  <c r="DO86" i="3"/>
  <c r="DO85" i="3"/>
  <c r="DJ86" i="3"/>
  <c r="CV83" i="3"/>
  <c r="CU83" i="3" s="1"/>
  <c r="CT83" i="3" s="1"/>
  <c r="DO84" i="3"/>
  <c r="DO83" i="3"/>
  <c r="DJ84" i="3"/>
  <c r="CV81" i="3"/>
  <c r="DO82" i="3"/>
  <c r="DO81" i="3"/>
  <c r="DJ82" i="3"/>
  <c r="CV31" i="3"/>
  <c r="CU31" i="3" s="1"/>
  <c r="CX31" i="3" s="1"/>
  <c r="CV30" i="3"/>
  <c r="CS153" i="3"/>
  <c r="CS154" i="3" s="1"/>
  <c r="CT155" i="3"/>
  <c r="DG103" i="3"/>
  <c r="DG71" i="3"/>
  <c r="CV153" i="3"/>
  <c r="DS20" i="3"/>
  <c r="DV20" i="3" s="1"/>
  <c r="F8" i="3"/>
  <c r="CV9" i="3" s="1"/>
  <c r="CV201" i="3"/>
  <c r="CV24" i="3"/>
  <c r="CU24" i="3" s="1"/>
  <c r="CV28" i="3"/>
  <c r="CU28" i="3" s="1"/>
  <c r="CV34" i="3"/>
  <c r="CU34" i="3" s="1"/>
  <c r="CX34" i="3" s="1"/>
  <c r="CV38" i="3"/>
  <c r="CU38" i="3" s="1"/>
  <c r="CV22" i="3"/>
  <c r="CU22" i="3" s="1"/>
  <c r="CV26" i="3"/>
  <c r="CU26" i="3" s="1"/>
  <c r="CX26" i="3" s="1"/>
  <c r="F32" i="3"/>
  <c r="F36" i="3"/>
  <c r="DP108" i="3"/>
  <c r="DA114" i="3"/>
  <c r="EV114" i="3"/>
  <c r="ED115" i="3"/>
  <c r="DA115" i="3"/>
  <c r="DA108" i="3"/>
  <c r="EV108" i="3"/>
  <c r="ED109" i="3"/>
  <c r="DA109" i="3"/>
  <c r="CV39" i="3"/>
  <c r="CU39" i="3" s="1"/>
  <c r="CX39" i="3" s="1"/>
  <c r="CV35" i="3"/>
  <c r="CU35" i="3" s="1"/>
  <c r="DV28" i="3"/>
  <c r="DU28" i="3"/>
  <c r="DU29" i="3"/>
  <c r="DV29" i="3"/>
  <c r="CV29" i="3"/>
  <c r="CU29" i="3" s="1"/>
  <c r="DV26" i="3"/>
  <c r="DU26" i="3"/>
  <c r="DU27" i="3"/>
  <c r="DV27" i="3"/>
  <c r="CV27" i="3"/>
  <c r="CU27" i="3" s="1"/>
  <c r="DV24" i="3"/>
  <c r="DU24" i="3"/>
  <c r="DU25" i="3"/>
  <c r="DV25" i="3"/>
  <c r="CV25" i="3"/>
  <c r="CU25" i="3" s="1"/>
  <c r="CX25" i="3" s="1"/>
  <c r="DV22" i="3"/>
  <c r="DU22" i="3"/>
  <c r="DU23" i="3"/>
  <c r="DV23" i="3"/>
  <c r="CV23" i="3"/>
  <c r="CU23" i="3" s="1"/>
  <c r="DA99" i="3"/>
  <c r="CZ99" i="3" s="1"/>
  <c r="EO99" i="3" s="1"/>
  <c r="DN6" i="3"/>
  <c r="DH8" i="3" s="1"/>
  <c r="CV19" i="3"/>
  <c r="CU19" i="3" s="1"/>
  <c r="CX19" i="3" s="1"/>
  <c r="CV17" i="3"/>
  <c r="CU17" i="3" s="1"/>
  <c r="CV13" i="3"/>
  <c r="CU13" i="3" s="1"/>
  <c r="CV15" i="3"/>
  <c r="CU15" i="3" s="1"/>
  <c r="CV16" i="3"/>
  <c r="CU16" i="3" s="1"/>
  <c r="CX16" i="3" s="1"/>
  <c r="CV14" i="3"/>
  <c r="CU14" i="3" s="1"/>
  <c r="CV18" i="3"/>
  <c r="CU18" i="3" s="1"/>
  <c r="CV12" i="3"/>
  <c r="CU12" i="3" s="1"/>
  <c r="CV11" i="3"/>
  <c r="CU11" i="3" s="1"/>
  <c r="CX11" i="3" s="1"/>
  <c r="DO80" i="3"/>
  <c r="DO79" i="3"/>
  <c r="CV79" i="3"/>
  <c r="F79" i="3"/>
  <c r="CV10" i="3"/>
  <c r="EQ101" i="3"/>
  <c r="G280" i="1"/>
  <c r="CV20" i="3"/>
  <c r="CV21" i="3"/>
  <c r="CU21" i="3" s="1"/>
  <c r="DV21" i="3"/>
  <c r="DU21" i="3"/>
  <c r="J280" i="1"/>
  <c r="K280" i="1"/>
  <c r="G282" i="1"/>
  <c r="G283" i="1"/>
  <c r="K283" i="1"/>
  <c r="G290" i="1"/>
  <c r="G291" i="1"/>
  <c r="K291" i="1"/>
  <c r="F280" i="1"/>
  <c r="F282" i="1"/>
  <c r="H283" i="1"/>
  <c r="J284" i="1"/>
  <c r="F286" i="1"/>
  <c r="H287" i="1"/>
  <c r="J288" i="1"/>
  <c r="F290" i="1"/>
  <c r="H291" i="1"/>
  <c r="F292" i="1"/>
  <c r="J292" i="1"/>
  <c r="H293" i="1"/>
  <c r="F294" i="1"/>
  <c r="J294" i="1"/>
  <c r="I280" i="1"/>
  <c r="J293" i="1"/>
  <c r="F291" i="1"/>
  <c r="H288" i="1"/>
  <c r="J285" i="1"/>
  <c r="F283" i="1"/>
  <c r="I279" i="1"/>
  <c r="H279" i="1"/>
  <c r="K289" i="1"/>
  <c r="G288" i="1"/>
  <c r="K281" i="1"/>
  <c r="F278" i="1"/>
  <c r="J278" i="1"/>
  <c r="F279" i="1"/>
  <c r="J279" i="1"/>
  <c r="G286" i="1"/>
  <c r="K286" i="1"/>
  <c r="G287" i="1"/>
  <c r="I287" i="1"/>
  <c r="K287" i="1"/>
  <c r="I288" i="1"/>
  <c r="G294" i="1"/>
  <c r="K294" i="1"/>
  <c r="H294" i="1"/>
  <c r="F293" i="1"/>
  <c r="J291" i="1"/>
  <c r="H290" i="1"/>
  <c r="F285" i="1"/>
  <c r="J283" i="1"/>
  <c r="H282" i="1"/>
  <c r="I294" i="1"/>
  <c r="I293" i="1"/>
  <c r="K292" i="1"/>
  <c r="I290" i="1"/>
  <c r="I289" i="1"/>
  <c r="K288" i="1"/>
  <c r="I286" i="1"/>
  <c r="I285" i="1"/>
  <c r="K284" i="1"/>
  <c r="I282" i="1"/>
  <c r="H278" i="1"/>
  <c r="H280" i="1"/>
  <c r="K282" i="1"/>
  <c r="I283" i="1"/>
  <c r="I284" i="1"/>
  <c r="K290" i="1"/>
  <c r="I291" i="1"/>
  <c r="I292" i="1"/>
  <c r="G278" i="1"/>
  <c r="H281" i="1"/>
  <c r="J282" i="1"/>
  <c r="F284" i="1"/>
  <c r="H285" i="1"/>
  <c r="J286" i="1"/>
  <c r="F288" i="1"/>
  <c r="H289" i="1"/>
  <c r="J290" i="1"/>
  <c r="H292" i="1"/>
  <c r="J289" i="1"/>
  <c r="F287" i="1"/>
  <c r="H284" i="1"/>
  <c r="J281" i="1"/>
  <c r="K293" i="1"/>
  <c r="G293" i="1"/>
  <c r="G292" i="1"/>
  <c r="G289" i="1"/>
  <c r="K285" i="1"/>
  <c r="G285" i="1"/>
  <c r="G284" i="1"/>
  <c r="G281" i="1"/>
  <c r="D6" i="1"/>
  <c r="I278" i="1"/>
  <c r="K279" i="1"/>
  <c r="K278" i="1"/>
  <c r="F289" i="1"/>
  <c r="J287" i="1"/>
  <c r="H286" i="1"/>
  <c r="F281" i="1"/>
  <c r="E6" i="1"/>
  <c r="G279" i="1"/>
  <c r="I281" i="1"/>
  <c r="AS57" i="15" l="1"/>
  <c r="AS40" i="15"/>
  <c r="AS41" i="15" s="1"/>
  <c r="AS65" i="15"/>
  <c r="AS28" i="15"/>
  <c r="AS29" i="15" s="1"/>
  <c r="AR34" i="15"/>
  <c r="AR35" i="15" s="1"/>
  <c r="AR73" i="14"/>
  <c r="AS65" i="14"/>
  <c r="AS73" i="15"/>
  <c r="AS89" i="14"/>
  <c r="AR89" i="15"/>
  <c r="AS81" i="15"/>
  <c r="AR65" i="14"/>
  <c r="AR57" i="15"/>
  <c r="AS57" i="14"/>
  <c r="AS89" i="15"/>
  <c r="AS34" i="15"/>
  <c r="AS35" i="15" s="1"/>
  <c r="AS73" i="14"/>
  <c r="AR16" i="15"/>
  <c r="AR17" i="15" s="1"/>
  <c r="BJ7" i="15" s="1"/>
  <c r="BM5" i="15" s="1"/>
  <c r="AS16" i="15"/>
  <c r="AS17" i="15" s="1"/>
  <c r="AS81" i="14"/>
  <c r="AS22" i="15"/>
  <c r="AS23" i="15" s="1"/>
  <c r="AR57" i="14"/>
  <c r="AR81" i="15"/>
  <c r="AR16" i="14"/>
  <c r="AR17" i="14" s="1"/>
  <c r="AR28" i="15"/>
  <c r="AR29" i="15" s="1"/>
  <c r="AR65" i="15"/>
  <c r="AR40" i="14"/>
  <c r="AR41" i="14" s="1"/>
  <c r="AR89" i="14"/>
  <c r="AS34" i="14"/>
  <c r="AS35" i="14" s="1"/>
  <c r="AS28" i="14"/>
  <c r="AS29" i="14" s="1"/>
  <c r="AS22" i="14"/>
  <c r="AS23" i="14" s="1"/>
  <c r="AS16" i="14"/>
  <c r="AS17" i="14" s="1"/>
  <c r="AR81" i="14"/>
  <c r="AR40" i="15"/>
  <c r="AR41" i="15" s="1"/>
  <c r="AS40" i="14"/>
  <c r="AS41" i="14" s="1"/>
  <c r="AR73" i="15"/>
  <c r="AR22" i="15"/>
  <c r="AR23" i="15" s="1"/>
  <c r="AR34" i="14"/>
  <c r="AR35" i="14" s="1"/>
  <c r="AR28" i="14"/>
  <c r="AR29" i="14" s="1"/>
  <c r="AR22" i="14"/>
  <c r="AR23" i="14" s="1"/>
  <c r="CX12" i="3"/>
  <c r="CX28" i="3"/>
  <c r="DP91" i="3"/>
  <c r="DX26" i="3"/>
  <c r="DX14" i="3"/>
  <c r="G60" i="4"/>
  <c r="BU35" i="15" s="1"/>
  <c r="DX41" i="3"/>
  <c r="CY40" i="3"/>
  <c r="ED40" i="3" s="1"/>
  <c r="DX25" i="3"/>
  <c r="DX19" i="3"/>
  <c r="O601" i="3"/>
  <c r="CY41" i="3"/>
  <c r="DX20" i="3"/>
  <c r="DX30" i="3"/>
  <c r="DX38" i="3"/>
  <c r="DX37" i="3"/>
  <c r="CY44" i="3"/>
  <c r="DX49" i="3"/>
  <c r="DX43" i="3"/>
  <c r="CY47" i="3"/>
  <c r="CY50" i="3"/>
  <c r="CY53" i="3"/>
  <c r="CX49" i="3"/>
  <c r="CX43" i="3"/>
  <c r="CX15" i="3"/>
  <c r="CX22" i="3"/>
  <c r="EB101" i="3"/>
  <c r="CX18" i="3"/>
  <c r="CX13" i="3"/>
  <c r="CX29" i="3"/>
  <c r="CV8" i="3"/>
  <c r="CU8" i="3" s="1"/>
  <c r="CX24" i="3"/>
  <c r="DX23" i="3"/>
  <c r="DX13" i="3"/>
  <c r="DX24" i="3"/>
  <c r="DX18" i="3"/>
  <c r="BV8" i="15"/>
  <c r="BX8" i="15" s="1"/>
  <c r="DW40" i="3"/>
  <c r="DX8" i="3"/>
  <c r="DX32" i="3"/>
  <c r="DX31" i="3"/>
  <c r="DX39" i="3"/>
  <c r="DW44" i="3"/>
  <c r="ES44" i="3" s="1"/>
  <c r="EM44" i="3" s="1"/>
  <c r="DX50" i="3"/>
  <c r="DX44" i="3"/>
  <c r="DW47" i="3"/>
  <c r="ES47" i="3" s="1"/>
  <c r="EM47" i="3" s="1"/>
  <c r="DW50" i="3"/>
  <c r="ES50" i="3" s="1"/>
  <c r="EM50" i="3" s="1"/>
  <c r="DW53" i="3"/>
  <c r="ES53" i="3" s="1"/>
  <c r="EM53" i="3" s="1"/>
  <c r="CX50" i="3"/>
  <c r="CX44" i="3"/>
  <c r="DB66" i="14"/>
  <c r="CN23" i="15"/>
  <c r="DB82" i="14"/>
  <c r="DB82" i="15"/>
  <c r="DA58" i="15"/>
  <c r="DB58" i="15"/>
  <c r="CN29" i="15"/>
  <c r="DB66" i="15"/>
  <c r="CM35" i="15"/>
  <c r="DA74" i="14"/>
  <c r="DB58" i="14"/>
  <c r="DB90" i="15"/>
  <c r="DB74" i="14"/>
  <c r="CN17" i="15"/>
  <c r="DB74" i="15"/>
  <c r="DB90" i="14"/>
  <c r="DA90" i="15"/>
  <c r="DA66" i="14"/>
  <c r="DA58" i="14"/>
  <c r="CN41" i="15"/>
  <c r="CN35" i="15"/>
  <c r="CM17" i="15"/>
  <c r="DA82" i="14"/>
  <c r="CN29" i="14"/>
  <c r="CM41" i="15"/>
  <c r="CN41" i="14"/>
  <c r="DA74" i="15"/>
  <c r="CM23" i="15"/>
  <c r="DA82" i="15"/>
  <c r="CN17" i="14"/>
  <c r="CM29" i="15"/>
  <c r="DA66" i="15"/>
  <c r="CM41" i="14"/>
  <c r="DA90" i="14"/>
  <c r="CN35" i="14"/>
  <c r="CN23" i="14"/>
  <c r="CM17" i="14"/>
  <c r="CM35" i="14"/>
  <c r="CM29" i="14"/>
  <c r="CM23" i="14"/>
  <c r="CX27" i="3"/>
  <c r="CX21" i="3"/>
  <c r="CY10" i="3"/>
  <c r="CX14" i="3"/>
  <c r="CX17" i="3"/>
  <c r="CX23" i="3"/>
  <c r="CX35" i="3"/>
  <c r="CX38" i="3"/>
  <c r="EB100" i="3"/>
  <c r="F57" i="4"/>
  <c r="DX22" i="3"/>
  <c r="DX12" i="3"/>
  <c r="DX21" i="3"/>
  <c r="CX41" i="3"/>
  <c r="DX29" i="3"/>
  <c r="DX17" i="3"/>
  <c r="DX11" i="3"/>
  <c r="DW41" i="3"/>
  <c r="DX34" i="3"/>
  <c r="DX33" i="3"/>
  <c r="CY43" i="3"/>
  <c r="DW46" i="3"/>
  <c r="DX52" i="3"/>
  <c r="CY46" i="3"/>
  <c r="CY49" i="3"/>
  <c r="CY52" i="3"/>
  <c r="CX46" i="3"/>
  <c r="CY8" i="3"/>
  <c r="ED8" i="3" s="1"/>
  <c r="P10" i="18"/>
  <c r="P33" i="18"/>
  <c r="E32" i="18" s="1"/>
  <c r="P31" i="18"/>
  <c r="E30" i="18" s="1"/>
  <c r="P56" i="18"/>
  <c r="E55" i="18" s="1"/>
  <c r="U80" i="18"/>
  <c r="J79" i="18" s="1"/>
  <c r="P80" i="18"/>
  <c r="E79" i="18" s="1"/>
  <c r="U106" i="18"/>
  <c r="J105" i="18" s="1"/>
  <c r="P106" i="18"/>
  <c r="E105" i="18" s="1"/>
  <c r="P59" i="18"/>
  <c r="E58" i="18" s="1"/>
  <c r="U83" i="18"/>
  <c r="J82" i="18" s="1"/>
  <c r="P83" i="18"/>
  <c r="E82" i="18" s="1"/>
  <c r="U109" i="18"/>
  <c r="J108" i="18" s="1"/>
  <c r="P109" i="18"/>
  <c r="E108" i="18" s="1"/>
  <c r="V31" i="18"/>
  <c r="K30" i="18" s="1"/>
  <c r="U82" i="18"/>
  <c r="J81" i="18" s="1"/>
  <c r="P107" i="18"/>
  <c r="E106" i="18" s="1"/>
  <c r="U107" i="18"/>
  <c r="J106" i="18" s="1"/>
  <c r="P57" i="18"/>
  <c r="E56" i="18" s="1"/>
  <c r="V32" i="18"/>
  <c r="K31" i="18" s="1"/>
  <c r="P82" i="18"/>
  <c r="E81" i="18" s="1"/>
  <c r="P32" i="18"/>
  <c r="E31" i="18" s="1"/>
  <c r="P8" i="18"/>
  <c r="P7" i="18"/>
  <c r="P9" i="18"/>
  <c r="P34" i="18"/>
  <c r="E33" i="18" s="1"/>
  <c r="P58" i="18"/>
  <c r="E57" i="18" s="1"/>
  <c r="P84" i="18"/>
  <c r="E83" i="18" s="1"/>
  <c r="U108" i="18"/>
  <c r="J107" i="18" s="1"/>
  <c r="P55" i="18"/>
  <c r="E54" i="18" s="1"/>
  <c r="U105" i="18"/>
  <c r="J104" i="18" s="1"/>
  <c r="CZ98" i="3"/>
  <c r="EO98" i="3" s="1"/>
  <c r="O598" i="15"/>
  <c r="O595" i="15"/>
  <c r="K601" i="3"/>
  <c r="L601" i="3" s="1"/>
  <c r="K595" i="14"/>
  <c r="L595" i="14" s="1"/>
  <c r="FF69" i="3"/>
  <c r="FF66" i="3"/>
  <c r="FF63" i="3"/>
  <c r="FF60" i="3"/>
  <c r="FF57" i="3"/>
  <c r="FF51" i="3"/>
  <c r="FF48" i="3"/>
  <c r="FF45" i="3"/>
  <c r="FF42" i="3"/>
  <c r="O598" i="14"/>
  <c r="FF54" i="3"/>
  <c r="W208" i="3"/>
  <c r="CA40" i="15"/>
  <c r="CA41" i="15" s="1"/>
  <c r="CA34" i="15"/>
  <c r="CA35" i="15" s="1"/>
  <c r="CA16" i="15"/>
  <c r="CA17" i="15" s="1"/>
  <c r="CE89" i="15"/>
  <c r="CE90" i="15" s="1"/>
  <c r="CE81" i="15"/>
  <c r="CE82" i="15" s="1"/>
  <c r="CE73" i="15"/>
  <c r="CE74" i="15" s="1"/>
  <c r="CE65" i="15"/>
  <c r="CE66" i="15" s="1"/>
  <c r="CE57" i="15"/>
  <c r="CE58" i="15" s="1"/>
  <c r="CA28" i="15"/>
  <c r="CA29" i="15" s="1"/>
  <c r="CA22" i="15"/>
  <c r="CA23" i="15" s="1"/>
  <c r="CE89" i="14"/>
  <c r="CE90" i="14" s="1"/>
  <c r="CE81" i="14"/>
  <c r="CE82" i="14" s="1"/>
  <c r="CE73" i="14"/>
  <c r="CE74" i="14" s="1"/>
  <c r="CE65" i="14"/>
  <c r="CE66" i="14" s="1"/>
  <c r="CE57" i="14"/>
  <c r="CE58" i="14" s="1"/>
  <c r="CA34" i="14"/>
  <c r="CA35" i="14" s="1"/>
  <c r="CA28" i="14"/>
  <c r="CA29" i="14" s="1"/>
  <c r="CA16" i="14"/>
  <c r="CA17" i="14" s="1"/>
  <c r="CA40" i="14"/>
  <c r="CA41" i="14" s="1"/>
  <c r="CA22" i="14"/>
  <c r="CA23" i="14" s="1"/>
  <c r="FC66" i="3"/>
  <c r="FC63" i="3"/>
  <c r="FC60" i="3"/>
  <c r="FC57" i="3"/>
  <c r="FC69" i="3"/>
  <c r="FC54" i="3"/>
  <c r="W205" i="3"/>
  <c r="FC51" i="3"/>
  <c r="FC48" i="3"/>
  <c r="FC45" i="3"/>
  <c r="FC42" i="3"/>
  <c r="O595" i="14"/>
  <c r="BX28" i="15"/>
  <c r="BX29" i="15" s="1"/>
  <c r="BX22" i="15"/>
  <c r="BX23" i="15" s="1"/>
  <c r="BX40" i="15"/>
  <c r="BX41" i="15" s="1"/>
  <c r="BX34" i="15"/>
  <c r="BX35" i="15" s="1"/>
  <c r="BX16" i="15"/>
  <c r="BX17" i="15" s="1"/>
  <c r="CB89" i="15"/>
  <c r="CB90" i="15" s="1"/>
  <c r="CB81" i="15"/>
  <c r="CB82" i="15" s="1"/>
  <c r="CB73" i="15"/>
  <c r="CB74" i="15" s="1"/>
  <c r="CB65" i="15"/>
  <c r="CB66" i="15" s="1"/>
  <c r="CB57" i="15"/>
  <c r="CB58" i="15" s="1"/>
  <c r="CB81" i="14"/>
  <c r="CB82" i="14" s="1"/>
  <c r="CB73" i="14"/>
  <c r="CB74" i="14" s="1"/>
  <c r="CB65" i="14"/>
  <c r="CB66" i="14" s="1"/>
  <c r="CB57" i="14"/>
  <c r="CB58" i="14" s="1"/>
  <c r="CB89" i="14"/>
  <c r="CB90" i="14" s="1"/>
  <c r="BX40" i="14"/>
  <c r="BX41" i="14" s="1"/>
  <c r="BX22" i="14"/>
  <c r="BX23" i="14" s="1"/>
  <c r="BX34" i="14"/>
  <c r="BX35" i="14" s="1"/>
  <c r="BX28" i="14"/>
  <c r="BX29" i="14" s="1"/>
  <c r="BX16" i="14"/>
  <c r="BX17" i="14" s="1"/>
  <c r="FB69" i="3"/>
  <c r="FB66" i="3"/>
  <c r="FB60" i="3"/>
  <c r="FB63" i="3"/>
  <c r="FB57" i="3"/>
  <c r="FB48" i="3"/>
  <c r="FB42" i="3"/>
  <c r="W204" i="3"/>
  <c r="FB54" i="3"/>
  <c r="FB51" i="3"/>
  <c r="FB45" i="3"/>
  <c r="O594" i="14"/>
  <c r="BW40" i="15"/>
  <c r="BW41" i="15" s="1"/>
  <c r="BW28" i="15"/>
  <c r="BW29" i="15" s="1"/>
  <c r="CA89" i="15"/>
  <c r="CA90" i="15" s="1"/>
  <c r="CA73" i="15"/>
  <c r="CA74" i="15" s="1"/>
  <c r="CA57" i="15"/>
  <c r="CA58" i="15" s="1"/>
  <c r="BY59" i="15" s="1"/>
  <c r="BZ59" i="15" s="1"/>
  <c r="BW34" i="15"/>
  <c r="BW35" i="15" s="1"/>
  <c r="BW22" i="15"/>
  <c r="BW23" i="15" s="1"/>
  <c r="BW16" i="15"/>
  <c r="BW17" i="15" s="1"/>
  <c r="CA81" i="15"/>
  <c r="CA82" i="15" s="1"/>
  <c r="CA65" i="15"/>
  <c r="CA66" i="15" s="1"/>
  <c r="CA73" i="14"/>
  <c r="CA74" i="14" s="1"/>
  <c r="CA57" i="14"/>
  <c r="CA58" i="14" s="1"/>
  <c r="CA81" i="14"/>
  <c r="CA82" i="14" s="1"/>
  <c r="CA65" i="14"/>
  <c r="CA66" i="14" s="1"/>
  <c r="CA89" i="14"/>
  <c r="CA90" i="14" s="1"/>
  <c r="BW28" i="14"/>
  <c r="BW29" i="14" s="1"/>
  <c r="BW22" i="14"/>
  <c r="BW23" i="14" s="1"/>
  <c r="BW16" i="14"/>
  <c r="BW17" i="14" s="1"/>
  <c r="BU18" i="14" s="1"/>
  <c r="BV18" i="14" s="1"/>
  <c r="BW40" i="14"/>
  <c r="BW41" i="14" s="1"/>
  <c r="BW34" i="14"/>
  <c r="BW35" i="14" s="1"/>
  <c r="I18" i="18"/>
  <c r="I17" i="18"/>
  <c r="I19" i="18" s="1"/>
  <c r="CZ88" i="3"/>
  <c r="CZ89" i="3"/>
  <c r="BU41" i="14"/>
  <c r="BU29" i="14"/>
  <c r="BY82" i="14"/>
  <c r="BY58" i="14"/>
  <c r="BY74" i="14"/>
  <c r="BU23" i="15"/>
  <c r="BU17" i="15"/>
  <c r="BY90" i="15"/>
  <c r="BU17" i="14"/>
  <c r="BY74" i="15"/>
  <c r="BU35" i="14"/>
  <c r="BU23" i="14"/>
  <c r="BY66" i="14"/>
  <c r="BY90" i="14"/>
  <c r="BY82" i="15"/>
  <c r="BU29" i="15"/>
  <c r="BY66" i="15"/>
  <c r="BU41" i="15"/>
  <c r="BY58" i="15"/>
  <c r="DX68" i="3"/>
  <c r="CX68" i="3"/>
  <c r="DX67" i="3"/>
  <c r="CX67" i="3"/>
  <c r="DX65" i="3"/>
  <c r="CX65" i="3"/>
  <c r="DB65" i="3" s="1"/>
  <c r="DW64" i="3"/>
  <c r="CY64" i="3"/>
  <c r="DX62" i="3"/>
  <c r="CX62" i="3"/>
  <c r="DW61" i="3"/>
  <c r="CY61" i="3"/>
  <c r="DW59" i="3"/>
  <c r="ES59" i="3" s="1"/>
  <c r="EM59" i="3" s="1"/>
  <c r="CY59" i="3"/>
  <c r="DW58" i="3"/>
  <c r="CX58" i="3"/>
  <c r="DX56" i="3"/>
  <c r="CY56" i="3"/>
  <c r="DX55" i="3"/>
  <c r="CX55" i="3"/>
  <c r="DW68" i="3"/>
  <c r="ES68" i="3" s="1"/>
  <c r="EM68" i="3" s="1"/>
  <c r="CY68" i="3"/>
  <c r="DW67" i="3"/>
  <c r="CY67" i="3"/>
  <c r="DW65" i="3"/>
  <c r="ES65" i="3" s="1"/>
  <c r="EM65" i="3" s="1"/>
  <c r="CY65" i="3"/>
  <c r="DX64" i="3"/>
  <c r="CX64" i="3"/>
  <c r="DW62" i="3"/>
  <c r="ES62" i="3" s="1"/>
  <c r="EM62" i="3" s="1"/>
  <c r="CY62" i="3"/>
  <c r="DX61" i="3"/>
  <c r="CX61" i="3"/>
  <c r="DX59" i="3"/>
  <c r="CX59" i="3"/>
  <c r="DX58" i="3"/>
  <c r="CY58" i="3"/>
  <c r="DW56" i="3"/>
  <c r="ES56" i="3" s="1"/>
  <c r="EM56" i="3" s="1"/>
  <c r="CX56" i="3"/>
  <c r="DB56" i="3" s="1"/>
  <c r="DW55" i="3"/>
  <c r="CY55" i="3"/>
  <c r="AY430" i="14"/>
  <c r="AT430" i="14" s="1"/>
  <c r="AT429" i="14"/>
  <c r="P6" i="18"/>
  <c r="E6" i="18" s="1"/>
  <c r="P30" i="18"/>
  <c r="T6" i="18"/>
  <c r="I6" i="18" s="1"/>
  <c r="P381" i="18"/>
  <c r="Q6" i="18"/>
  <c r="F6" i="18" s="1"/>
  <c r="U9" i="18"/>
  <c r="J9" i="18" s="1"/>
  <c r="O382" i="18"/>
  <c r="AT76" i="14"/>
  <c r="S382" i="18"/>
  <c r="U8" i="18"/>
  <c r="J8" i="18" s="1"/>
  <c r="J23" i="18" s="1"/>
  <c r="J25" i="18" s="1"/>
  <c r="U10" i="18"/>
  <c r="J10" i="18" s="1"/>
  <c r="K382" i="18"/>
  <c r="Q9" i="18"/>
  <c r="F9" i="18" s="1"/>
  <c r="E9" i="18"/>
  <c r="T9" i="18"/>
  <c r="I9" i="18" s="1"/>
  <c r="O381" i="18"/>
  <c r="AS37" i="15"/>
  <c r="BH34" i="15" s="1"/>
  <c r="BA34" i="15" s="1"/>
  <c r="E8" i="18"/>
  <c r="T8" i="18"/>
  <c r="I8" i="18" s="1"/>
  <c r="I23" i="18" s="1"/>
  <c r="I25" i="18" s="1"/>
  <c r="Q8" i="18"/>
  <c r="F8" i="18" s="1"/>
  <c r="S381" i="18"/>
  <c r="T10" i="18"/>
  <c r="I10" i="18" s="1"/>
  <c r="E10" i="18"/>
  <c r="Q10" i="18"/>
  <c r="F10" i="18" s="1"/>
  <c r="K381" i="18"/>
  <c r="U7" i="18"/>
  <c r="J7" i="18" s="1"/>
  <c r="Q382" i="18"/>
  <c r="E7" i="18"/>
  <c r="Q7" i="18"/>
  <c r="F7" i="18" s="1"/>
  <c r="T7" i="18"/>
  <c r="I7" i="18" s="1"/>
  <c r="Q381" i="18"/>
  <c r="U6" i="18"/>
  <c r="J6" i="18" s="1"/>
  <c r="P382" i="18"/>
  <c r="DL68" i="3"/>
  <c r="DJ68" i="3"/>
  <c r="DH68" i="3"/>
  <c r="ER68" i="3" s="1"/>
  <c r="EL68" i="3" s="1"/>
  <c r="EQ68" i="3" s="1"/>
  <c r="DL65" i="3"/>
  <c r="DJ65" i="3"/>
  <c r="DH65" i="3"/>
  <c r="ER65" i="3" s="1"/>
  <c r="EL65" i="3" s="1"/>
  <c r="EQ65" i="3" s="1"/>
  <c r="M65" i="3" s="1"/>
  <c r="DL55" i="3"/>
  <c r="DJ55" i="3"/>
  <c r="DL62" i="3"/>
  <c r="DJ62" i="3"/>
  <c r="DH62" i="3"/>
  <c r="ER62" i="3" s="1"/>
  <c r="EL62" i="3" s="1"/>
  <c r="EQ62" i="3" s="1"/>
  <c r="DL59" i="3"/>
  <c r="DJ59" i="3"/>
  <c r="DH59" i="3"/>
  <c r="ER59" i="3" s="1"/>
  <c r="EL59" i="3" s="1"/>
  <c r="EQ59" i="3" s="1"/>
  <c r="DL58" i="3"/>
  <c r="DJ58" i="3"/>
  <c r="DL56" i="3"/>
  <c r="DJ56" i="3"/>
  <c r="DH56" i="3"/>
  <c r="ER56" i="3" s="1"/>
  <c r="EL56" i="3" s="1"/>
  <c r="EQ56" i="3" s="1"/>
  <c r="M56" i="3" s="1"/>
  <c r="DJ61" i="3"/>
  <c r="DL64" i="3"/>
  <c r="DL67" i="3"/>
  <c r="DL61" i="3"/>
  <c r="DJ64" i="3"/>
  <c r="DJ67" i="3"/>
  <c r="DL49" i="3"/>
  <c r="DJ49" i="3"/>
  <c r="DL43" i="3"/>
  <c r="DJ43" i="3"/>
  <c r="DL52" i="3"/>
  <c r="DJ52" i="3"/>
  <c r="DL46" i="3"/>
  <c r="CP46" i="3" s="1"/>
  <c r="DL53" i="3"/>
  <c r="DL50" i="3"/>
  <c r="DJ46" i="3"/>
  <c r="DJ47" i="3"/>
  <c r="DJ50" i="3"/>
  <c r="DJ53" i="3"/>
  <c r="DJ44" i="3"/>
  <c r="DL47" i="3"/>
  <c r="CP47" i="3" s="1"/>
  <c r="DL44" i="3"/>
  <c r="DH47" i="3"/>
  <c r="DH50" i="3"/>
  <c r="DH53" i="3"/>
  <c r="DH44" i="3"/>
  <c r="CU85" i="3"/>
  <c r="CT85" i="3" s="1"/>
  <c r="AY38" i="15"/>
  <c r="AX38" i="15"/>
  <c r="DD75" i="14"/>
  <c r="BE34" i="15"/>
  <c r="AX34" i="15" s="1"/>
  <c r="DK73" i="14"/>
  <c r="DK74" i="14" s="1"/>
  <c r="DL73" i="14"/>
  <c r="DL74" i="14" s="1"/>
  <c r="BB77" i="14"/>
  <c r="BA77" i="14"/>
  <c r="CX34" i="15"/>
  <c r="CX35" i="15" s="1"/>
  <c r="CW34" i="15"/>
  <c r="CW35" i="15" s="1"/>
  <c r="BC38" i="15"/>
  <c r="BB38" i="15"/>
  <c r="AZ77" i="14"/>
  <c r="AZ78" i="14" s="1"/>
  <c r="AY77" i="14"/>
  <c r="AY78" i="14" s="1"/>
  <c r="BA38" i="15"/>
  <c r="AZ38" i="15"/>
  <c r="AX77" i="14"/>
  <c r="AX78" i="14" s="1"/>
  <c r="AW77" i="14"/>
  <c r="AW78" i="14" s="1"/>
  <c r="DC88" i="3"/>
  <c r="CY88" i="3" s="1"/>
  <c r="N88" i="3"/>
  <c r="DC89" i="3"/>
  <c r="CY89" i="3" s="1"/>
  <c r="N89" i="3" s="1"/>
  <c r="R89" i="3" s="1"/>
  <c r="CQ43" i="3"/>
  <c r="ED43" i="3"/>
  <c r="EE43" i="3" s="1"/>
  <c r="FA43" i="3"/>
  <c r="EV43" i="3" s="1"/>
  <c r="EP43" i="3" s="1"/>
  <c r="EZ43" i="3"/>
  <c r="EU43" i="3" s="1"/>
  <c r="EO43" i="3" s="1"/>
  <c r="DE43" i="3"/>
  <c r="AH43" i="3" s="1"/>
  <c r="CQ44" i="3"/>
  <c r="EU44" i="3"/>
  <c r="EO44" i="3" s="1"/>
  <c r="EV44" i="3"/>
  <c r="EP44" i="3" s="1"/>
  <c r="DE44" i="3"/>
  <c r="EX46" i="3"/>
  <c r="ES46" i="3" s="1"/>
  <c r="EM46" i="3" s="1"/>
  <c r="CQ46" i="3"/>
  <c r="ED46" i="3"/>
  <c r="EE46" i="3" s="1"/>
  <c r="FA46" i="3"/>
  <c r="EV46" i="3" s="1"/>
  <c r="EP46" i="3" s="1"/>
  <c r="EZ46" i="3"/>
  <c r="EU46" i="3" s="1"/>
  <c r="EO46" i="3" s="1"/>
  <c r="DE46" i="3"/>
  <c r="AH46" i="3" s="1"/>
  <c r="CQ47" i="3"/>
  <c r="EV47" i="3"/>
  <c r="EP47" i="3" s="1"/>
  <c r="EU47" i="3"/>
  <c r="EO47" i="3" s="1"/>
  <c r="DE47" i="3"/>
  <c r="CQ49" i="3"/>
  <c r="ED49" i="3"/>
  <c r="EE49" i="3" s="1"/>
  <c r="FA49" i="3"/>
  <c r="EV49" i="3" s="1"/>
  <c r="EP49" i="3" s="1"/>
  <c r="EZ49" i="3"/>
  <c r="EU49" i="3" s="1"/>
  <c r="EO49" i="3" s="1"/>
  <c r="DE49" i="3"/>
  <c r="AH49" i="3" s="1"/>
  <c r="CQ50" i="3"/>
  <c r="EU50" i="3"/>
  <c r="EO50" i="3" s="1"/>
  <c r="EV50" i="3"/>
  <c r="EP50" i="3" s="1"/>
  <c r="DE50" i="3"/>
  <c r="CQ52" i="3"/>
  <c r="ED52" i="3"/>
  <c r="EE52" i="3" s="1"/>
  <c r="FA52" i="3"/>
  <c r="EV52" i="3" s="1"/>
  <c r="EP52" i="3" s="1"/>
  <c r="EZ52" i="3"/>
  <c r="EU52" i="3" s="1"/>
  <c r="EO52" i="3" s="1"/>
  <c r="DE52" i="3"/>
  <c r="AH52" i="3" s="1"/>
  <c r="CQ53" i="3"/>
  <c r="EV53" i="3"/>
  <c r="EP53" i="3" s="1"/>
  <c r="EU53" i="3"/>
  <c r="EO53" i="3" s="1"/>
  <c r="DE53" i="3"/>
  <c r="EB46" i="3"/>
  <c r="EC46" i="3" s="1"/>
  <c r="EW46" i="3"/>
  <c r="ER46" i="3" s="1"/>
  <c r="EL46" i="3" s="1"/>
  <c r="EQ46" i="3" s="1"/>
  <c r="M46" i="3" s="1"/>
  <c r="DB46" i="3"/>
  <c r="AE46" i="3" s="1"/>
  <c r="CP49" i="3"/>
  <c r="EB49" i="3"/>
  <c r="EW49" i="3"/>
  <c r="ER49" i="3" s="1"/>
  <c r="EL49" i="3" s="1"/>
  <c r="EQ49" i="3" s="1"/>
  <c r="M49" i="3" s="1"/>
  <c r="DB49" i="3"/>
  <c r="AE49" i="3" s="1"/>
  <c r="CP52" i="3"/>
  <c r="CR52" i="3" s="1"/>
  <c r="EB52" i="3"/>
  <c r="EW52" i="3"/>
  <c r="ER52" i="3" s="1"/>
  <c r="EL52" i="3" s="1"/>
  <c r="EQ52" i="3" s="1"/>
  <c r="M52" i="3" s="1"/>
  <c r="DB52" i="3"/>
  <c r="AE52" i="3" s="1"/>
  <c r="CP43" i="3"/>
  <c r="CR43" i="3" s="1"/>
  <c r="EB43" i="3"/>
  <c r="EW43" i="3"/>
  <c r="ER43" i="3" s="1"/>
  <c r="EL43" i="3" s="1"/>
  <c r="EQ43" i="3" s="1"/>
  <c r="M43" i="3" s="1"/>
  <c r="DB43" i="3"/>
  <c r="AE43" i="3" s="1"/>
  <c r="BU43" i="14"/>
  <c r="BV41" i="14"/>
  <c r="BV43" i="14" s="1"/>
  <c r="BV29" i="14"/>
  <c r="BV31" i="14" s="1"/>
  <c r="BU31" i="14"/>
  <c r="BZ82" i="14"/>
  <c r="BZ84" i="14" s="1"/>
  <c r="BY84" i="14"/>
  <c r="BZ58" i="14"/>
  <c r="BZ60" i="14" s="1"/>
  <c r="BY60" i="14"/>
  <c r="BZ74" i="14"/>
  <c r="BZ76" i="14" s="1"/>
  <c r="BY76" i="14"/>
  <c r="BU25" i="15"/>
  <c r="BV23" i="15"/>
  <c r="BV25" i="15" s="1"/>
  <c r="BV17" i="15"/>
  <c r="BV19" i="15" s="1"/>
  <c r="BU19" i="15"/>
  <c r="BZ90" i="15"/>
  <c r="BZ92" i="15" s="1"/>
  <c r="BY92" i="15"/>
  <c r="BV17" i="14"/>
  <c r="BV19" i="14" s="1"/>
  <c r="BY76" i="15"/>
  <c r="BZ74" i="15"/>
  <c r="BZ76" i="15" s="1"/>
  <c r="EX43" i="3"/>
  <c r="ES43" i="3" s="1"/>
  <c r="EM43" i="3" s="1"/>
  <c r="EX49" i="3"/>
  <c r="ES49" i="3" s="1"/>
  <c r="EM49" i="3" s="1"/>
  <c r="EX52" i="3"/>
  <c r="ES52" i="3" s="1"/>
  <c r="EM52" i="3" s="1"/>
  <c r="ER47" i="3"/>
  <c r="EL47" i="3" s="1"/>
  <c r="EQ47" i="3" s="1"/>
  <c r="M47" i="3" s="1"/>
  <c r="DB47" i="3"/>
  <c r="CP50" i="3"/>
  <c r="CR50" i="3" s="1"/>
  <c r="ER50" i="3"/>
  <c r="EL50" i="3" s="1"/>
  <c r="EQ50" i="3" s="1"/>
  <c r="M50" i="3" s="1"/>
  <c r="DB50" i="3"/>
  <c r="CP53" i="3"/>
  <c r="ER53" i="3"/>
  <c r="EL53" i="3" s="1"/>
  <c r="EQ53" i="3" s="1"/>
  <c r="M53" i="3" s="1"/>
  <c r="DB53" i="3"/>
  <c r="CP44" i="3"/>
  <c r="CR44" i="3" s="1"/>
  <c r="ER44" i="3"/>
  <c r="EL44" i="3" s="1"/>
  <c r="EQ44" i="3" s="1"/>
  <c r="M44" i="3" s="1"/>
  <c r="DB44" i="3"/>
  <c r="BU37" i="14"/>
  <c r="BV35" i="14"/>
  <c r="BV37" i="14" s="1"/>
  <c r="BV23" i="14"/>
  <c r="BV25" i="14" s="1"/>
  <c r="BU25" i="14"/>
  <c r="BZ66" i="14"/>
  <c r="BZ68" i="14" s="1"/>
  <c r="BY68" i="14"/>
  <c r="BZ90" i="14"/>
  <c r="BZ92" i="14" s="1"/>
  <c r="BY92" i="14"/>
  <c r="BZ82" i="15"/>
  <c r="BZ84" i="15" s="1"/>
  <c r="BY84" i="15"/>
  <c r="BV29" i="15"/>
  <c r="BV31" i="15" s="1"/>
  <c r="BU31" i="15"/>
  <c r="BY68" i="15"/>
  <c r="BZ66" i="15"/>
  <c r="BZ68" i="15" s="1"/>
  <c r="BU43" i="15"/>
  <c r="BV41" i="15"/>
  <c r="BV43" i="15" s="1"/>
  <c r="BY60" i="15"/>
  <c r="BZ58" i="15"/>
  <c r="BZ60" i="15" s="1"/>
  <c r="BU37" i="15"/>
  <c r="BV35" i="15"/>
  <c r="BV37" i="15" s="1"/>
  <c r="AB33" i="14"/>
  <c r="Y33" i="14"/>
  <c r="FS41" i="3"/>
  <c r="FS42" i="3" s="1"/>
  <c r="FT41" i="3"/>
  <c r="FT42" i="3" s="1"/>
  <c r="EU41" i="3"/>
  <c r="AS19" i="14"/>
  <c r="BH16" i="14" s="1"/>
  <c r="BA16" i="14" s="1"/>
  <c r="GE41" i="3"/>
  <c r="FA40" i="3" s="1"/>
  <c r="EV40" i="3" s="1"/>
  <c r="EP40" i="3" s="1"/>
  <c r="DF82" i="3"/>
  <c r="DE82" i="3"/>
  <c r="DF84" i="3"/>
  <c r="DE84" i="3"/>
  <c r="DR115" i="3"/>
  <c r="EV115" i="3"/>
  <c r="DP115" i="3"/>
  <c r="CW16" i="14"/>
  <c r="CW17" i="14" s="1"/>
  <c r="CX16" i="14"/>
  <c r="CX17" i="14" s="1"/>
  <c r="BC20" i="14"/>
  <c r="BB20" i="14"/>
  <c r="BA20" i="15"/>
  <c r="AZ61" i="15"/>
  <c r="AZ61" i="14"/>
  <c r="AY61" i="15"/>
  <c r="AZ20" i="15"/>
  <c r="AY61" i="14"/>
  <c r="BA20" i="14"/>
  <c r="AZ20" i="14"/>
  <c r="AY20" i="15"/>
  <c r="AX61" i="15"/>
  <c r="AX61" i="14"/>
  <c r="AW61" i="15"/>
  <c r="AX20" i="15"/>
  <c r="AW61" i="14"/>
  <c r="EC88" i="3"/>
  <c r="DZ88" i="3" s="1"/>
  <c r="DT88" i="3" s="1"/>
  <c r="EC89" i="3"/>
  <c r="DZ89" i="3" s="1"/>
  <c r="DT89" i="3" s="1"/>
  <c r="AY20" i="14"/>
  <c r="AX20" i="14"/>
  <c r="AS19" i="15"/>
  <c r="AT60" i="15"/>
  <c r="AT60" i="14"/>
  <c r="BG16" i="14"/>
  <c r="AZ16" i="14" s="1"/>
  <c r="BD16" i="14"/>
  <c r="AW16" i="14" s="1"/>
  <c r="CX16" i="15"/>
  <c r="CX17" i="15" s="1"/>
  <c r="DL57" i="15"/>
  <c r="DL58" i="15" s="1"/>
  <c r="DK57" i="14"/>
  <c r="DK58" i="14" s="1"/>
  <c r="CW16" i="15"/>
  <c r="CW17" i="15" s="1"/>
  <c r="DK57" i="15"/>
  <c r="DK58" i="15" s="1"/>
  <c r="DL57" i="14"/>
  <c r="DL58" i="14" s="1"/>
  <c r="BB61" i="15"/>
  <c r="BC20" i="15"/>
  <c r="BB61" i="14"/>
  <c r="BB20" i="15"/>
  <c r="BA61" i="14"/>
  <c r="BA61" i="15"/>
  <c r="DN31" i="3"/>
  <c r="AQ31" i="3" s="1"/>
  <c r="DQ119" i="3"/>
  <c r="DQ115" i="3"/>
  <c r="DQ111" i="3"/>
  <c r="DQ107" i="3"/>
  <c r="DQ103" i="3"/>
  <c r="DO119" i="3"/>
  <c r="DO115" i="3"/>
  <c r="DO111" i="3"/>
  <c r="DO107" i="3"/>
  <c r="DO103" i="3"/>
  <c r="DM104" i="3"/>
  <c r="DM117" i="3"/>
  <c r="DM111" i="3"/>
  <c r="DQ117" i="3"/>
  <c r="DQ113" i="3"/>
  <c r="DQ109" i="3"/>
  <c r="DQ105" i="3"/>
  <c r="DO117" i="3"/>
  <c r="DO113" i="3"/>
  <c r="DO109" i="3"/>
  <c r="DO105" i="3"/>
  <c r="DM105" i="3"/>
  <c r="DM119" i="3"/>
  <c r="DM113" i="3"/>
  <c r="DM107" i="3"/>
  <c r="DL39" i="3"/>
  <c r="DJ39" i="3"/>
  <c r="DH39" i="3"/>
  <c r="DL37" i="3"/>
  <c r="DJ37" i="3"/>
  <c r="DH37" i="3"/>
  <c r="DL35" i="3"/>
  <c r="DJ35" i="3"/>
  <c r="DH35" i="3"/>
  <c r="DL29" i="3"/>
  <c r="CP29" i="3" s="1"/>
  <c r="DJ29" i="3"/>
  <c r="DH29" i="3"/>
  <c r="ER29" i="3" s="1"/>
  <c r="EL29" i="3" s="1"/>
  <c r="DL27" i="3"/>
  <c r="DJ27" i="3"/>
  <c r="DH27" i="3"/>
  <c r="DL25" i="3"/>
  <c r="CP25" i="3" s="1"/>
  <c r="DJ25" i="3"/>
  <c r="DH25" i="3"/>
  <c r="DL23" i="3"/>
  <c r="DJ23" i="3"/>
  <c r="DH23" i="3"/>
  <c r="DL19" i="3"/>
  <c r="CP19" i="3" s="1"/>
  <c r="DJ19" i="3"/>
  <c r="DH19" i="3"/>
  <c r="DL17" i="3"/>
  <c r="DJ17" i="3"/>
  <c r="DH17" i="3"/>
  <c r="DL15" i="3"/>
  <c r="CP15" i="3" s="1"/>
  <c r="DJ15" i="3"/>
  <c r="DH15" i="3"/>
  <c r="DB322" i="3" s="1"/>
  <c r="DL13" i="3"/>
  <c r="DJ13" i="3"/>
  <c r="DH13" i="3"/>
  <c r="DL9" i="3"/>
  <c r="DJ9" i="3"/>
  <c r="DH9" i="3"/>
  <c r="DQ123" i="3"/>
  <c r="DO123" i="3"/>
  <c r="EM123" i="3" s="1"/>
  <c r="Z123" i="3" s="1"/>
  <c r="DO125" i="3"/>
  <c r="DQ125" i="3"/>
  <c r="DM123" i="3"/>
  <c r="DM125" i="3"/>
  <c r="DO99" i="3"/>
  <c r="DQ99" i="3"/>
  <c r="DO101" i="3"/>
  <c r="DQ101" i="3"/>
  <c r="DM101" i="3"/>
  <c r="DJ41" i="3"/>
  <c r="DH11" i="3"/>
  <c r="DL11" i="3"/>
  <c r="DH31" i="3"/>
  <c r="DL31" i="3"/>
  <c r="CP31" i="3" s="1"/>
  <c r="DH21" i="3"/>
  <c r="DL21" i="3"/>
  <c r="DH33" i="3"/>
  <c r="DL33" i="3"/>
  <c r="EP122" i="3"/>
  <c r="DM99" i="3"/>
  <c r="DH41" i="3"/>
  <c r="ER41" i="3" s="1"/>
  <c r="DL41" i="3"/>
  <c r="DJ11" i="3"/>
  <c r="DJ31" i="3"/>
  <c r="DJ21" i="3"/>
  <c r="DJ33" i="3"/>
  <c r="EP123" i="3"/>
  <c r="EW123" i="3"/>
  <c r="EY123" i="3" s="1"/>
  <c r="FS123" i="3"/>
  <c r="FL123" i="3" s="1"/>
  <c r="EW122" i="3"/>
  <c r="EY122" i="3" s="1"/>
  <c r="FY122" i="3"/>
  <c r="FS122" i="3" s="1"/>
  <c r="FL122" i="3" s="1"/>
  <c r="EC90" i="3"/>
  <c r="DZ90" i="3" s="1"/>
  <c r="DT90" i="3" s="1"/>
  <c r="DX90" i="3" s="1"/>
  <c r="L90" i="3" s="1"/>
  <c r="DF86" i="3"/>
  <c r="DE86" i="3"/>
  <c r="E10" i="1"/>
  <c r="D10" i="1"/>
  <c r="E18" i="1"/>
  <c r="D18" i="1"/>
  <c r="E22" i="1"/>
  <c r="D22" i="1"/>
  <c r="E13" i="1"/>
  <c r="D13" i="1"/>
  <c r="E21" i="1"/>
  <c r="D21" i="1"/>
  <c r="E20" i="1"/>
  <c r="D20" i="1"/>
  <c r="E15" i="1"/>
  <c r="D15" i="1"/>
  <c r="E19" i="1"/>
  <c r="D19" i="1"/>
  <c r="E8" i="1"/>
  <c r="E12" i="1"/>
  <c r="E14" i="1"/>
  <c r="E16" i="1"/>
  <c r="E7" i="1"/>
  <c r="E9" i="1"/>
  <c r="E11" i="1"/>
  <c r="E17" i="1"/>
  <c r="D8" i="1"/>
  <c r="D12" i="1"/>
  <c r="D14" i="1"/>
  <c r="D16" i="1"/>
  <c r="D7" i="1"/>
  <c r="D9" i="1"/>
  <c r="D11" i="1"/>
  <c r="D17" i="1"/>
  <c r="CV32" i="3"/>
  <c r="CV36" i="3"/>
  <c r="CU36" i="3" s="1"/>
  <c r="CX36" i="3" s="1"/>
  <c r="EB36" i="3" s="1"/>
  <c r="AE36" i="3"/>
  <c r="AH36" i="3"/>
  <c r="T89" i="15"/>
  <c r="DM89" i="15" s="1"/>
  <c r="U89" i="15" s="1"/>
  <c r="Q89" i="15" s="1"/>
  <c r="D43" i="4"/>
  <c r="CW75" i="3" s="1"/>
  <c r="EE75" i="3" s="1"/>
  <c r="DY75" i="3" s="1"/>
  <c r="DS75" i="3" s="1"/>
  <c r="D44" i="4"/>
  <c r="CT336" i="3"/>
  <c r="CT382" i="3"/>
  <c r="CT383" i="3" s="1"/>
  <c r="CR336" i="3"/>
  <c r="CR382" i="3"/>
  <c r="CR383" i="3" s="1"/>
  <c r="CR337" i="3"/>
  <c r="CR431" i="3" s="1"/>
  <c r="CR432" i="3" s="1"/>
  <c r="CS339" i="3"/>
  <c r="CS336" i="3"/>
  <c r="CT337" i="3"/>
  <c r="CT431" i="3" s="1"/>
  <c r="CT432" i="3" s="1"/>
  <c r="CU339" i="3"/>
  <c r="CU336" i="3"/>
  <c r="CY17" i="3"/>
  <c r="CQ17" i="3" s="1"/>
  <c r="CY26" i="3"/>
  <c r="CV37" i="3"/>
  <c r="CU37" i="3" s="1"/>
  <c r="CX37" i="3" s="1"/>
  <c r="CS207" i="3"/>
  <c r="CS208" i="3" s="1"/>
  <c r="CT209" i="3"/>
  <c r="AW346" i="14"/>
  <c r="AR346" i="14" s="1"/>
  <c r="AR345" i="14"/>
  <c r="DC118" i="3"/>
  <c r="DC112" i="3"/>
  <c r="DD125" i="3"/>
  <c r="EN125" i="3" s="1"/>
  <c r="DD124" i="3"/>
  <c r="EN124" i="3" s="1"/>
  <c r="EB124" i="3"/>
  <c r="EB119" i="3"/>
  <c r="DC119" i="3"/>
  <c r="EB117" i="3"/>
  <c r="EB113" i="3"/>
  <c r="DC113" i="3"/>
  <c r="FR113" i="3" s="1"/>
  <c r="EB111" i="3"/>
  <c r="EB106" i="3"/>
  <c r="DC124" i="3"/>
  <c r="EB125" i="3"/>
  <c r="DC125" i="3"/>
  <c r="EM125" i="3" s="1"/>
  <c r="Z125" i="3" s="1"/>
  <c r="EB123" i="3"/>
  <c r="EB122" i="3"/>
  <c r="DD119" i="3"/>
  <c r="DD118" i="3"/>
  <c r="EB118" i="3"/>
  <c r="EB116" i="3"/>
  <c r="DD113" i="3"/>
  <c r="DD112" i="3"/>
  <c r="EB112" i="3"/>
  <c r="EB110" i="3"/>
  <c r="EB107" i="3"/>
  <c r="EB105" i="3"/>
  <c r="EB104" i="3"/>
  <c r="AW10" i="15"/>
  <c r="AX10" i="15" s="1"/>
  <c r="AW10" i="14"/>
  <c r="AX10" i="14" s="1"/>
  <c r="DQ91" i="3"/>
  <c r="CW91" i="3"/>
  <c r="EE91" i="3" s="1"/>
  <c r="DY91" i="3" s="1"/>
  <c r="DS91" i="3" s="1"/>
  <c r="DU20" i="3"/>
  <c r="CS203" i="3"/>
  <c r="CS204" i="3" s="1"/>
  <c r="O88" i="3"/>
  <c r="O89" i="3"/>
  <c r="CX8" i="3"/>
  <c r="AY339" i="15"/>
  <c r="AT339" i="15" s="1"/>
  <c r="AT338" i="15"/>
  <c r="AY387" i="15"/>
  <c r="AZ386" i="15"/>
  <c r="AZ389" i="15"/>
  <c r="AW431" i="15"/>
  <c r="AR431" i="15" s="1"/>
  <c r="AR430" i="15"/>
  <c r="AW387" i="15"/>
  <c r="AX386" i="15"/>
  <c r="AX389" i="15"/>
  <c r="AW340" i="15"/>
  <c r="AX342" i="15"/>
  <c r="AX339" i="15"/>
  <c r="AY431" i="15"/>
  <c r="AT431" i="15" s="1"/>
  <c r="AT430" i="15"/>
  <c r="AU442" i="15"/>
  <c r="AU441" i="15" s="1"/>
  <c r="AU439" i="15"/>
  <c r="AS348" i="15"/>
  <c r="AS347" i="15" s="1"/>
  <c r="AS345" i="15"/>
  <c r="AU348" i="15"/>
  <c r="AU347" i="15" s="1"/>
  <c r="AU345" i="15"/>
  <c r="AS442" i="15"/>
  <c r="AS441" i="15" s="1"/>
  <c r="AS439" i="15"/>
  <c r="AY340" i="15"/>
  <c r="AZ342" i="15"/>
  <c r="AZ339" i="15"/>
  <c r="AY386" i="15"/>
  <c r="AT386" i="15" s="1"/>
  <c r="AT385" i="15"/>
  <c r="AW432" i="15"/>
  <c r="AX434" i="15"/>
  <c r="AX431" i="15"/>
  <c r="AW386" i="15"/>
  <c r="AR386" i="15" s="1"/>
  <c r="AR385" i="15"/>
  <c r="AW339" i="15"/>
  <c r="AR339" i="15" s="1"/>
  <c r="AR338" i="15"/>
  <c r="AY432" i="15"/>
  <c r="AZ434" i="15"/>
  <c r="AZ431" i="15"/>
  <c r="AY431" i="14"/>
  <c r="AZ433" i="14"/>
  <c r="AZ430" i="14"/>
  <c r="AW430" i="14"/>
  <c r="AR430" i="14" s="1"/>
  <c r="AR429" i="14"/>
  <c r="AW431" i="14"/>
  <c r="AX433" i="14"/>
  <c r="AX430" i="14"/>
  <c r="AY384" i="14"/>
  <c r="AZ386" i="14"/>
  <c r="AZ383" i="14"/>
  <c r="AW383" i="14"/>
  <c r="AR383" i="14" s="1"/>
  <c r="AR382" i="14"/>
  <c r="AY383" i="14"/>
  <c r="AT383" i="14" s="1"/>
  <c r="AT382" i="14"/>
  <c r="AW384" i="14"/>
  <c r="AX386" i="14"/>
  <c r="AX383" i="14"/>
  <c r="AT345" i="14"/>
  <c r="AY346" i="14"/>
  <c r="AT346" i="14" s="1"/>
  <c r="AS390" i="14"/>
  <c r="AS387" i="14"/>
  <c r="AU390" i="14"/>
  <c r="AU387" i="14"/>
  <c r="AZ344" i="14"/>
  <c r="AZ347" i="14"/>
  <c r="AY347" i="14" s="1"/>
  <c r="AX344" i="14"/>
  <c r="AX347" i="14"/>
  <c r="EB12" i="3"/>
  <c r="EB14" i="3"/>
  <c r="EB34" i="3"/>
  <c r="EB22" i="3"/>
  <c r="EB28" i="3"/>
  <c r="EB8" i="3"/>
  <c r="ED10" i="3"/>
  <c r="EB18" i="3"/>
  <c r="EB16" i="3"/>
  <c r="EB26" i="3"/>
  <c r="ED26" i="3"/>
  <c r="EB38" i="3"/>
  <c r="EB24" i="3"/>
  <c r="AS431" i="14"/>
  <c r="AS428" i="14"/>
  <c r="AU431" i="14"/>
  <c r="AU428" i="14"/>
  <c r="AU339" i="14"/>
  <c r="AU336" i="14"/>
  <c r="AS339" i="14"/>
  <c r="AS336" i="14"/>
  <c r="EN109" i="3"/>
  <c r="EN115" i="3"/>
  <c r="EQ106" i="3"/>
  <c r="EQ98" i="3"/>
  <c r="GD104" i="3"/>
  <c r="GD105" i="3" s="1"/>
  <c r="GD98" i="3"/>
  <c r="EW98" i="3" s="1"/>
  <c r="CY21" i="3"/>
  <c r="CZ105" i="3"/>
  <c r="EO105" i="3" s="1"/>
  <c r="EP105" i="3"/>
  <c r="CZ104" i="3"/>
  <c r="EO104" i="3" s="1"/>
  <c r="EP104" i="3"/>
  <c r="CY36" i="3"/>
  <c r="FA36" i="3" s="1"/>
  <c r="EV36" i="3" s="1"/>
  <c r="EP36" i="3" s="1"/>
  <c r="CY28" i="3"/>
  <c r="CV33" i="3"/>
  <c r="CU33" i="3" s="1"/>
  <c r="CX33" i="3" s="1"/>
  <c r="ER33" i="3" s="1"/>
  <c r="EL33" i="3" s="1"/>
  <c r="CT206" i="3"/>
  <c r="CU81" i="3"/>
  <c r="CT81" i="3" s="1"/>
  <c r="EO114" i="3"/>
  <c r="EO108" i="3"/>
  <c r="CS421" i="3"/>
  <c r="CU421" i="3"/>
  <c r="CY19" i="3"/>
  <c r="EV19" i="3" s="1"/>
  <c r="EP19" i="3" s="1"/>
  <c r="CY24" i="3"/>
  <c r="FA24" i="3" s="1"/>
  <c r="EV24" i="3" s="1"/>
  <c r="EP24" i="3" s="1"/>
  <c r="CY34" i="3"/>
  <c r="FA34" i="3" s="1"/>
  <c r="EV34" i="3" s="1"/>
  <c r="EP34" i="3" s="1"/>
  <c r="CW78" i="3"/>
  <c r="EE78" i="3" s="1"/>
  <c r="DY78" i="3" s="1"/>
  <c r="DS78" i="3" s="1"/>
  <c r="CW86" i="3"/>
  <c r="CW84" i="3"/>
  <c r="CW80" i="3"/>
  <c r="EF80" i="3" s="1"/>
  <c r="CW79" i="3"/>
  <c r="CW73" i="3"/>
  <c r="CY31" i="3"/>
  <c r="CY15" i="3"/>
  <c r="CX91" i="3"/>
  <c r="CY22" i="3"/>
  <c r="FA22" i="3" s="1"/>
  <c r="EV22" i="3" s="1"/>
  <c r="EP22" i="3" s="1"/>
  <c r="CY38" i="3"/>
  <c r="CW81" i="3"/>
  <c r="FB114" i="3"/>
  <c r="EJ114" i="3"/>
  <c r="FA108" i="3"/>
  <c r="DQ96" i="3"/>
  <c r="DL126" i="3"/>
  <c r="CU248" i="3"/>
  <c r="CU249" i="3" s="1"/>
  <c r="CV250" i="3"/>
  <c r="EJ108" i="3"/>
  <c r="FD125" i="3"/>
  <c r="FE125" i="3" s="1"/>
  <c r="FD123" i="3"/>
  <c r="FE123" i="3" s="1"/>
  <c r="FD119" i="3"/>
  <c r="FE119" i="3" s="1"/>
  <c r="FD117" i="3"/>
  <c r="FE117" i="3" s="1"/>
  <c r="FD116" i="3"/>
  <c r="FE116" i="3" s="1"/>
  <c r="FD112" i="3"/>
  <c r="FE112" i="3" s="1"/>
  <c r="FD110" i="3"/>
  <c r="FE110" i="3" s="1"/>
  <c r="DQ110" i="3"/>
  <c r="DO110" i="3"/>
  <c r="DM110" i="3"/>
  <c r="FX110" i="3" s="1"/>
  <c r="FR110" i="3" s="1"/>
  <c r="FD106" i="3"/>
  <c r="FE106" i="3" s="1"/>
  <c r="FD104" i="3"/>
  <c r="FE104" i="3" s="1"/>
  <c r="DQ104" i="3"/>
  <c r="DO104" i="3"/>
  <c r="Z104" i="3" s="1"/>
  <c r="FD124" i="3"/>
  <c r="FE124" i="3" s="1"/>
  <c r="FD122" i="3"/>
  <c r="FE122" i="3" s="1"/>
  <c r="FD118" i="3"/>
  <c r="FE118" i="3" s="1"/>
  <c r="DO116" i="3"/>
  <c r="DM116" i="3"/>
  <c r="FX116" i="3" s="1"/>
  <c r="FR116" i="3" s="1"/>
  <c r="FK116" i="3" s="1"/>
  <c r="FP116" i="3" s="1"/>
  <c r="R116" i="3" s="1"/>
  <c r="FD113" i="3"/>
  <c r="FE113" i="3" s="1"/>
  <c r="FD111" i="3"/>
  <c r="FE111" i="3" s="1"/>
  <c r="FD107" i="3"/>
  <c r="FE107" i="3" s="1"/>
  <c r="FD105" i="3"/>
  <c r="FE105" i="3" s="1"/>
  <c r="DO122" i="3"/>
  <c r="EM122" i="3" s="1"/>
  <c r="Z122" i="3" s="1"/>
  <c r="DQ116" i="3"/>
  <c r="FR125" i="3"/>
  <c r="FR123" i="3"/>
  <c r="CP113" i="3"/>
  <c r="Z107" i="3"/>
  <c r="FR105" i="3"/>
  <c r="FK105" i="3" s="1"/>
  <c r="FP105" i="3" s="1"/>
  <c r="R105" i="3" s="1"/>
  <c r="DM122" i="3"/>
  <c r="FX122" i="3" s="1"/>
  <c r="FR122" i="3" s="1"/>
  <c r="DQ122" i="3"/>
  <c r="FR119" i="3"/>
  <c r="FR117" i="3"/>
  <c r="FR111" i="3"/>
  <c r="Z105" i="3"/>
  <c r="DQ124" i="3"/>
  <c r="DM124" i="3"/>
  <c r="FX124" i="3" s="1"/>
  <c r="FR124" i="3" s="1"/>
  <c r="FK124" i="3" s="1"/>
  <c r="DO118" i="3"/>
  <c r="Z118" i="3" s="1"/>
  <c r="DO112" i="3"/>
  <c r="Z112" i="3" s="1"/>
  <c r="DO106" i="3"/>
  <c r="Z106" i="3" s="1"/>
  <c r="DO124" i="3"/>
  <c r="DQ118" i="3"/>
  <c r="DM118" i="3"/>
  <c r="FX118" i="3" s="1"/>
  <c r="FR118" i="3" s="1"/>
  <c r="DQ112" i="3"/>
  <c r="EZ112" i="3" s="1"/>
  <c r="DM112" i="3"/>
  <c r="DQ106" i="3"/>
  <c r="DM106" i="3"/>
  <c r="DP92" i="3"/>
  <c r="EF92" i="3" s="1"/>
  <c r="DZ92" i="3" s="1"/>
  <c r="DT92" i="3" s="1"/>
  <c r="CW92" i="3"/>
  <c r="EE92" i="3" s="1"/>
  <c r="DY92" i="3" s="1"/>
  <c r="DS92" i="3" s="1"/>
  <c r="DX92" i="3" s="1"/>
  <c r="L92" i="3" s="1"/>
  <c r="DS96" i="3"/>
  <c r="DN126" i="3"/>
  <c r="DG121" i="3"/>
  <c r="DG78" i="3"/>
  <c r="U78" i="3" s="1"/>
  <c r="DG75" i="3"/>
  <c r="U75" i="3" s="1"/>
  <c r="DG74" i="3"/>
  <c r="DG77" i="3"/>
  <c r="DQ93" i="3"/>
  <c r="EI93" i="3" s="1"/>
  <c r="EC93" i="3" s="1"/>
  <c r="DW93" i="3" s="1"/>
  <c r="CX93" i="3"/>
  <c r="EH93" i="3" s="1"/>
  <c r="EB93" i="3" s="1"/>
  <c r="DV93" i="3" s="1"/>
  <c r="CT93" i="3"/>
  <c r="CX92" i="3"/>
  <c r="EH92" i="3" s="1"/>
  <c r="EB92" i="3" s="1"/>
  <c r="DV92" i="3" s="1"/>
  <c r="DQ92" i="3"/>
  <c r="EI92" i="3" s="1"/>
  <c r="EC92" i="3" s="1"/>
  <c r="DW92" i="3" s="1"/>
  <c r="DN10" i="3"/>
  <c r="AQ10" i="3" s="1"/>
  <c r="DN20" i="3"/>
  <c r="AQ20" i="3" s="1"/>
  <c r="EW109" i="3"/>
  <c r="EW115" i="3"/>
  <c r="EY108" i="3"/>
  <c r="EW108" i="3"/>
  <c r="EY114" i="3"/>
  <c r="EW114" i="3"/>
  <c r="CZ124" i="3"/>
  <c r="EO124" i="3" s="1"/>
  <c r="EP124" i="3"/>
  <c r="CZ125" i="3"/>
  <c r="EO125" i="3" s="1"/>
  <c r="EP125" i="3"/>
  <c r="CZ118" i="3"/>
  <c r="EO118" i="3" s="1"/>
  <c r="EP118" i="3"/>
  <c r="CZ119" i="3"/>
  <c r="EO119" i="3" s="1"/>
  <c r="EP119" i="3"/>
  <c r="ET110" i="3"/>
  <c r="EU110" i="3"/>
  <c r="FI110" i="3" s="1"/>
  <c r="EX113" i="3"/>
  <c r="FA113" i="3" s="1"/>
  <c r="FB113" i="3" s="1"/>
  <c r="ER110" i="3"/>
  <c r="ES110" i="3"/>
  <c r="CZ106" i="3"/>
  <c r="EO106" i="3" s="1"/>
  <c r="EP106" i="3"/>
  <c r="CZ107" i="3"/>
  <c r="EO107" i="3" s="1"/>
  <c r="EP107" i="3"/>
  <c r="EP101" i="3"/>
  <c r="EP99" i="3"/>
  <c r="CX85" i="3"/>
  <c r="EH86" i="3" s="1"/>
  <c r="EB86" i="3" s="1"/>
  <c r="DV86" i="3" s="1"/>
  <c r="CX74" i="3"/>
  <c r="CX75" i="3"/>
  <c r="CX78" i="3"/>
  <c r="CX77" i="3"/>
  <c r="R88" i="3"/>
  <c r="FA115" i="3"/>
  <c r="FA109" i="3"/>
  <c r="CX98" i="3"/>
  <c r="DD134" i="3"/>
  <c r="DD135" i="3" s="1"/>
  <c r="DR98" i="3"/>
  <c r="EH91" i="3"/>
  <c r="EB91" i="3" s="1"/>
  <c r="DV91" i="3" s="1"/>
  <c r="DC100" i="3"/>
  <c r="DD100" i="3"/>
  <c r="DP98" i="3"/>
  <c r="EV98" i="3"/>
  <c r="DN98" i="3"/>
  <c r="EB87" i="3"/>
  <c r="DY87" i="3" s="1"/>
  <c r="DS87" i="3" s="1"/>
  <c r="DZ87" i="3"/>
  <c r="DT87" i="3" s="1"/>
  <c r="DF73" i="3"/>
  <c r="DE73" i="3"/>
  <c r="DA129" i="3"/>
  <c r="DA130" i="3" s="1"/>
  <c r="CZ108" i="3"/>
  <c r="CZ115" i="3"/>
  <c r="FB115" i="3"/>
  <c r="CZ114" i="3"/>
  <c r="CZ109" i="3"/>
  <c r="FB108" i="3"/>
  <c r="DG85" i="3"/>
  <c r="U85" i="3" s="1"/>
  <c r="DG83" i="3"/>
  <c r="DG81" i="3"/>
  <c r="CS248" i="3"/>
  <c r="CS249" i="3" s="1"/>
  <c r="CT250" i="3"/>
  <c r="CX82" i="3"/>
  <c r="EI82" i="3" s="1"/>
  <c r="CX84" i="3"/>
  <c r="CX86" i="3"/>
  <c r="EI86" i="3" s="1"/>
  <c r="DN100" i="3"/>
  <c r="DP100" i="3"/>
  <c r="EV100" i="3"/>
  <c r="DR100" i="3"/>
  <c r="DA100" i="3"/>
  <c r="EK101" i="3"/>
  <c r="FA8" i="3"/>
  <c r="EV8" i="3" s="1"/>
  <c r="EP8" i="3" s="1"/>
  <c r="CY11" i="3"/>
  <c r="CY13" i="3"/>
  <c r="EV13" i="3" s="1"/>
  <c r="EP13" i="3" s="1"/>
  <c r="CX81" i="3"/>
  <c r="CX83" i="3"/>
  <c r="FD114" i="3"/>
  <c r="FD109" i="3"/>
  <c r="DM109" i="3"/>
  <c r="FD108" i="3"/>
  <c r="DN37" i="3"/>
  <c r="DN36" i="3"/>
  <c r="DN33" i="3"/>
  <c r="DN32" i="3"/>
  <c r="DN27" i="3"/>
  <c r="DN26" i="3"/>
  <c r="DN23" i="3"/>
  <c r="DN22" i="3"/>
  <c r="FD115" i="3"/>
  <c r="DM115" i="3"/>
  <c r="DN39" i="3"/>
  <c r="DN38" i="3"/>
  <c r="DN35" i="3"/>
  <c r="DN34" i="3"/>
  <c r="DN29" i="3"/>
  <c r="DN28" i="3"/>
  <c r="DN25" i="3"/>
  <c r="DN24" i="3"/>
  <c r="CU201" i="3"/>
  <c r="CU202" i="3" s="1"/>
  <c r="CV203" i="3"/>
  <c r="CU9" i="3"/>
  <c r="CX9" i="3" s="1"/>
  <c r="CY9" i="3"/>
  <c r="EV9" i="3" s="1"/>
  <c r="CV155" i="3"/>
  <c r="CU153" i="3"/>
  <c r="CU154" i="3" s="1"/>
  <c r="CY30" i="3"/>
  <c r="CU30" i="3"/>
  <c r="CX30" i="3" s="1"/>
  <c r="DO108" i="3"/>
  <c r="DO114" i="3"/>
  <c r="DQ114" i="3"/>
  <c r="DG76" i="3"/>
  <c r="DG126" i="3" s="1"/>
  <c r="DG73" i="3"/>
  <c r="DG79" i="3"/>
  <c r="CS155" i="3"/>
  <c r="CS156" i="3" s="1"/>
  <c r="CT157" i="3"/>
  <c r="CT208" i="3"/>
  <c r="CS209" i="3"/>
  <c r="CS210" i="3" s="1"/>
  <c r="CT211" i="3"/>
  <c r="DM108" i="3"/>
  <c r="DM114" i="3"/>
  <c r="DQ108" i="3"/>
  <c r="EL115" i="3"/>
  <c r="EL109" i="3"/>
  <c r="DM38" i="3"/>
  <c r="CP37" i="3"/>
  <c r="DL36" i="3"/>
  <c r="CP39" i="3"/>
  <c r="DL38" i="3"/>
  <c r="CP38" i="3" s="1"/>
  <c r="DM36" i="3"/>
  <c r="DI38" i="3"/>
  <c r="EZ38" i="3" s="1"/>
  <c r="EU38" i="3" s="1"/>
  <c r="EO38" i="3" s="1"/>
  <c r="ER37" i="3"/>
  <c r="EL37" i="3" s="1"/>
  <c r="DH36" i="3"/>
  <c r="DH38" i="3"/>
  <c r="EW38" i="3" s="1"/>
  <c r="ER38" i="3" s="1"/>
  <c r="EL38" i="3" s="1"/>
  <c r="DI36" i="3"/>
  <c r="DK38" i="3"/>
  <c r="DJ36" i="3"/>
  <c r="DJ38" i="3"/>
  <c r="DK36" i="3"/>
  <c r="ER39" i="3"/>
  <c r="EL39" i="3" s="1"/>
  <c r="FA38" i="3"/>
  <c r="EV38" i="3" s="1"/>
  <c r="EP38" i="3" s="1"/>
  <c r="CY39" i="3"/>
  <c r="CQ39" i="3" s="1"/>
  <c r="DM34" i="3"/>
  <c r="DL32" i="3"/>
  <c r="CP35" i="3"/>
  <c r="DL34" i="3"/>
  <c r="CP34" i="3" s="1"/>
  <c r="DM32" i="3"/>
  <c r="DI34" i="3"/>
  <c r="DH32" i="3"/>
  <c r="DH34" i="3"/>
  <c r="EW34" i="3" s="1"/>
  <c r="ER34" i="3" s="1"/>
  <c r="EL34" i="3" s="1"/>
  <c r="DI32" i="3"/>
  <c r="DK34" i="3"/>
  <c r="DJ32" i="3"/>
  <c r="DJ34" i="3"/>
  <c r="DK32" i="3"/>
  <c r="ER35" i="3"/>
  <c r="EL35" i="3" s="1"/>
  <c r="CY35" i="3"/>
  <c r="CY33" i="3"/>
  <c r="DK22" i="3"/>
  <c r="DH10" i="3"/>
  <c r="DI22" i="3"/>
  <c r="ER23" i="3"/>
  <c r="EL23" i="3" s="1"/>
  <c r="DH22" i="3"/>
  <c r="EW22" i="3" s="1"/>
  <c r="ER22" i="3" s="1"/>
  <c r="EL22" i="3" s="1"/>
  <c r="DM28" i="3"/>
  <c r="CP27" i="3"/>
  <c r="DL26" i="3"/>
  <c r="CP26" i="3" s="1"/>
  <c r="DC334" i="3"/>
  <c r="DC333" i="3" s="1"/>
  <c r="DM24" i="3"/>
  <c r="DL28" i="3"/>
  <c r="CP28" i="3" s="1"/>
  <c r="DC340" i="3"/>
  <c r="DC339" i="3" s="1"/>
  <c r="DM26" i="3"/>
  <c r="CQ26" i="3" s="1"/>
  <c r="DL24" i="3"/>
  <c r="CP24" i="3" s="1"/>
  <c r="DM22" i="3"/>
  <c r="DI28" i="3"/>
  <c r="ER27" i="3"/>
  <c r="EL27" i="3" s="1"/>
  <c r="DH26" i="3"/>
  <c r="EW26" i="3" s="1"/>
  <c r="ER26" i="3" s="1"/>
  <c r="EL26" i="3" s="1"/>
  <c r="DI24" i="3"/>
  <c r="DH28" i="3"/>
  <c r="EW28" i="3" s="1"/>
  <c r="ER28" i="3" s="1"/>
  <c r="EL28" i="3" s="1"/>
  <c r="DI26" i="3"/>
  <c r="EZ26" i="3" s="1"/>
  <c r="EU26" i="3" s="1"/>
  <c r="EO26" i="3" s="1"/>
  <c r="ER25" i="3"/>
  <c r="EL25" i="3" s="1"/>
  <c r="DH24" i="3"/>
  <c r="EW24" i="3" s="1"/>
  <c r="ER24" i="3" s="1"/>
  <c r="EL24" i="3" s="1"/>
  <c r="DK28" i="3"/>
  <c r="DJ26" i="3"/>
  <c r="DK24" i="3"/>
  <c r="DJ28" i="3"/>
  <c r="DK26" i="3"/>
  <c r="DJ24" i="3"/>
  <c r="DJ22" i="3"/>
  <c r="DL22" i="3"/>
  <c r="CP22" i="3" s="1"/>
  <c r="CP23" i="3"/>
  <c r="EC28" i="3"/>
  <c r="FA28" i="3"/>
  <c r="EV28" i="3" s="1"/>
  <c r="EP28" i="3" s="1"/>
  <c r="CY29" i="3"/>
  <c r="FA26" i="3"/>
  <c r="EV26" i="3" s="1"/>
  <c r="EP26" i="3" s="1"/>
  <c r="CY27" i="3"/>
  <c r="CY25" i="3"/>
  <c r="CY23" i="3"/>
  <c r="EI91" i="3"/>
  <c r="EC91" i="3" s="1"/>
  <c r="DW91" i="3" s="1"/>
  <c r="EF91" i="3"/>
  <c r="DZ91" i="3" s="1"/>
  <c r="DT91" i="3" s="1"/>
  <c r="DN11" i="3"/>
  <c r="AQ11" i="3" s="1"/>
  <c r="DN17" i="3"/>
  <c r="DN14" i="3"/>
  <c r="DN19" i="3"/>
  <c r="DN18" i="3"/>
  <c r="FD101" i="3"/>
  <c r="FE101" i="3" s="1"/>
  <c r="FD100" i="3"/>
  <c r="FE100" i="3" s="1"/>
  <c r="FD98" i="3"/>
  <c r="FE98" i="3" s="1"/>
  <c r="DQ98" i="3"/>
  <c r="DO98" i="3"/>
  <c r="DM100" i="3"/>
  <c r="DN8" i="3"/>
  <c r="AQ8" i="3" s="1"/>
  <c r="DN30" i="3"/>
  <c r="AQ30" i="3" s="1"/>
  <c r="DN9" i="3"/>
  <c r="DN21" i="3"/>
  <c r="AQ21" i="3" s="1"/>
  <c r="DN16" i="3"/>
  <c r="DN15" i="3"/>
  <c r="DN13" i="3"/>
  <c r="DN12" i="3"/>
  <c r="DS102" i="3"/>
  <c r="EZ101" i="3"/>
  <c r="DQ100" i="3"/>
  <c r="FD99" i="3"/>
  <c r="FE99" i="3" s="1"/>
  <c r="DM98" i="3"/>
  <c r="DO100" i="3"/>
  <c r="EV31" i="3"/>
  <c r="EP31" i="3" s="1"/>
  <c r="EV21" i="3"/>
  <c r="EP21" i="3" s="1"/>
  <c r="CP17" i="3"/>
  <c r="DM16" i="3"/>
  <c r="DL14" i="3"/>
  <c r="CP14" i="3" s="1"/>
  <c r="DL18" i="3"/>
  <c r="CP18" i="3" s="1"/>
  <c r="CP13" i="3"/>
  <c r="DL16" i="3"/>
  <c r="CP16" i="3" s="1"/>
  <c r="DM14" i="3"/>
  <c r="DL12" i="3"/>
  <c r="CP12" i="3" s="1"/>
  <c r="DI16" i="3"/>
  <c r="DH14" i="3"/>
  <c r="DB320" i="3" s="1"/>
  <c r="DH18" i="3"/>
  <c r="DB317" i="3"/>
  <c r="DH16" i="3"/>
  <c r="DI14" i="3"/>
  <c r="DH12" i="3"/>
  <c r="DB315" i="3" s="1"/>
  <c r="DK16" i="3"/>
  <c r="DJ14" i="3"/>
  <c r="DJ12" i="3"/>
  <c r="DJ16" i="3"/>
  <c r="DK14" i="3"/>
  <c r="DJ18" i="3"/>
  <c r="DK12" i="3"/>
  <c r="DK18" i="3"/>
  <c r="DM18" i="3"/>
  <c r="DM12" i="3"/>
  <c r="DI12" i="3"/>
  <c r="DI18" i="3"/>
  <c r="EW16" i="3"/>
  <c r="EX16" i="3"/>
  <c r="CY16" i="3"/>
  <c r="EW14" i="3"/>
  <c r="EX14" i="3"/>
  <c r="CY14" i="3"/>
  <c r="EW18" i="3"/>
  <c r="EX18" i="3"/>
  <c r="CY18" i="3"/>
  <c r="EW12" i="3"/>
  <c r="EX12" i="3"/>
  <c r="CY12" i="3"/>
  <c r="DM10" i="3"/>
  <c r="CQ10" i="3" s="1"/>
  <c r="DI10" i="3"/>
  <c r="DB312" i="3"/>
  <c r="DL10" i="3"/>
  <c r="DJ10" i="3"/>
  <c r="EX8" i="3"/>
  <c r="DK10" i="3"/>
  <c r="CP11" i="3"/>
  <c r="CY20" i="3"/>
  <c r="CU20" i="3"/>
  <c r="CX20" i="3" s="1"/>
  <c r="DO20" i="3"/>
  <c r="CU10" i="3"/>
  <c r="CX10" i="3" s="1"/>
  <c r="DO31" i="3"/>
  <c r="ES31" i="3" s="1"/>
  <c r="EM31" i="3" s="1"/>
  <c r="CU79" i="3"/>
  <c r="CT79" i="3" s="1"/>
  <c r="F80" i="3"/>
  <c r="EZ10" i="3"/>
  <c r="FA10" i="3"/>
  <c r="EV10" i="3" s="1"/>
  <c r="EP10" i="3" s="1"/>
  <c r="DD101" i="3"/>
  <c r="DC101" i="3"/>
  <c r="DM40" i="3"/>
  <c r="CQ40" i="3" s="1"/>
  <c r="DM30" i="3"/>
  <c r="DM20" i="3"/>
  <c r="DL40" i="3"/>
  <c r="CP40" i="3" s="1"/>
  <c r="DL30" i="3"/>
  <c r="DL20" i="3"/>
  <c r="CQ41" i="3"/>
  <c r="CP41" i="3"/>
  <c r="CP21" i="3"/>
  <c r="DH40" i="3"/>
  <c r="GD41" i="3" s="1"/>
  <c r="ER21" i="3"/>
  <c r="EL21" i="3" s="1"/>
  <c r="DH30" i="3"/>
  <c r="DI40" i="3"/>
  <c r="EZ40" i="3" s="1"/>
  <c r="EU40" i="3" s="1"/>
  <c r="EU31" i="3"/>
  <c r="EO31" i="3" s="1"/>
  <c r="DI30" i="3"/>
  <c r="DI20" i="3"/>
  <c r="DH20" i="3"/>
  <c r="DK40" i="3"/>
  <c r="DK30" i="3"/>
  <c r="DK20" i="3"/>
  <c r="DJ40" i="3"/>
  <c r="DJ30" i="3"/>
  <c r="DJ20" i="3"/>
  <c r="CX80" i="3"/>
  <c r="EI80" i="3" s="1"/>
  <c r="CX76" i="3"/>
  <c r="CX73" i="3"/>
  <c r="CX79" i="3"/>
  <c r="EI79" i="3" s="1"/>
  <c r="EU9" i="3"/>
  <c r="DI8" i="3"/>
  <c r="DK8" i="3"/>
  <c r="DJ8" i="3"/>
  <c r="DM8" i="3"/>
  <c r="CQ8" i="3" s="1"/>
  <c r="DL8" i="3"/>
  <c r="CP8" i="3" s="1"/>
  <c r="CQ9" i="3"/>
  <c r="EZ8" i="3"/>
  <c r="EW8" i="3"/>
  <c r="CO36" i="14" l="1"/>
  <c r="CM37" i="14"/>
  <c r="CM36" i="14"/>
  <c r="DA92" i="14"/>
  <c r="DC91" i="14"/>
  <c r="DA93" i="14"/>
  <c r="DK90" i="14"/>
  <c r="CN19" i="14"/>
  <c r="CN18" i="14"/>
  <c r="CX41" i="14"/>
  <c r="CP42" i="14"/>
  <c r="CN43" i="14"/>
  <c r="CN42" i="14"/>
  <c r="CW41" i="15"/>
  <c r="AM39" i="15" s="1"/>
  <c r="CM18" i="15"/>
  <c r="CM19" i="15"/>
  <c r="CW29" i="15"/>
  <c r="AM27" i="15" s="1"/>
  <c r="CW23" i="15"/>
  <c r="AM21" i="15" s="1"/>
  <c r="DC67" i="14"/>
  <c r="DA68" i="14"/>
  <c r="DA69" i="14"/>
  <c r="DK66" i="14"/>
  <c r="CN18" i="15"/>
  <c r="CN19" i="15"/>
  <c r="DA77" i="14"/>
  <c r="DA76" i="14"/>
  <c r="DB60" i="15"/>
  <c r="DB61" i="15"/>
  <c r="CX23" i="15"/>
  <c r="CN24" i="15"/>
  <c r="CN25" i="15"/>
  <c r="CP24" i="15"/>
  <c r="BO21" i="14"/>
  <c r="BO22" i="14"/>
  <c r="BD22" i="14"/>
  <c r="AW22" i="14" s="1"/>
  <c r="BE22" i="14"/>
  <c r="AX22" i="14" s="1"/>
  <c r="AR75" i="15"/>
  <c r="AR74" i="15"/>
  <c r="AR90" i="14"/>
  <c r="AR91" i="14"/>
  <c r="AS82" i="14"/>
  <c r="AS83" i="14"/>
  <c r="AR66" i="14"/>
  <c r="AR67" i="14"/>
  <c r="AS75" i="15"/>
  <c r="AS74" i="15"/>
  <c r="BH28" i="15"/>
  <c r="BA28" i="15" s="1"/>
  <c r="BP27" i="15"/>
  <c r="BG28" i="15"/>
  <c r="AZ28" i="15" s="1"/>
  <c r="BP28" i="15"/>
  <c r="CR53" i="3"/>
  <c r="CW41" i="14"/>
  <c r="CM18" i="14"/>
  <c r="CW29" i="14"/>
  <c r="AM27" i="14" s="1"/>
  <c r="CW35" i="14"/>
  <c r="CW23" i="14"/>
  <c r="CM19" i="14"/>
  <c r="CM43" i="14"/>
  <c r="CO42" i="14"/>
  <c r="CM42" i="14"/>
  <c r="DK82" i="15"/>
  <c r="DC83" i="15"/>
  <c r="DA84" i="15"/>
  <c r="DA85" i="15"/>
  <c r="CM43" i="15"/>
  <c r="CM42" i="15"/>
  <c r="CO42" i="15"/>
  <c r="CN37" i="15"/>
  <c r="CN36" i="15"/>
  <c r="DC91" i="15"/>
  <c r="DA93" i="15"/>
  <c r="DA92" i="15"/>
  <c r="DK90" i="15"/>
  <c r="DB77" i="14"/>
  <c r="DB76" i="14"/>
  <c r="CM36" i="15"/>
  <c r="CM37" i="15"/>
  <c r="DA61" i="15"/>
  <c r="DA60" i="15"/>
  <c r="DB69" i="14"/>
  <c r="DD67" i="14"/>
  <c r="DB68" i="14"/>
  <c r="DL66" i="14"/>
  <c r="BO28" i="14"/>
  <c r="BE28" i="14"/>
  <c r="AX28" i="14" s="1"/>
  <c r="BD28" i="14"/>
  <c r="AW28" i="14" s="1"/>
  <c r="BO27" i="14"/>
  <c r="BP39" i="14"/>
  <c r="BG40" i="14"/>
  <c r="AZ40" i="14" s="1"/>
  <c r="BP40" i="14"/>
  <c r="BH40" i="14"/>
  <c r="BA40" i="14" s="1"/>
  <c r="BP22" i="14"/>
  <c r="BP21" i="14"/>
  <c r="BH22" i="14"/>
  <c r="BA22" i="14" s="1"/>
  <c r="BG22" i="14"/>
  <c r="AZ22" i="14" s="1"/>
  <c r="BD40" i="14"/>
  <c r="AW40" i="14" s="1"/>
  <c r="BO39" i="14"/>
  <c r="BQ39" i="14" s="1"/>
  <c r="BO40" i="14"/>
  <c r="BQ40" i="14" s="1"/>
  <c r="BE40" i="14"/>
  <c r="AX40" i="14" s="1"/>
  <c r="AR82" i="15"/>
  <c r="AR83" i="15"/>
  <c r="AS90" i="15"/>
  <c r="AS91" i="15"/>
  <c r="AS82" i="15"/>
  <c r="AS83" i="15"/>
  <c r="AS67" i="14"/>
  <c r="AS66" i="14"/>
  <c r="AS67" i="15"/>
  <c r="AS66" i="15"/>
  <c r="CM24" i="14"/>
  <c r="CM25" i="14"/>
  <c r="CO24" i="14"/>
  <c r="CN25" i="14"/>
  <c r="CN24" i="14"/>
  <c r="CX23" i="14"/>
  <c r="CP24" i="14"/>
  <c r="DC67" i="15"/>
  <c r="DK66" i="15"/>
  <c r="DA68" i="15"/>
  <c r="DA69" i="15"/>
  <c r="CM25" i="15"/>
  <c r="CO24" i="15"/>
  <c r="CM24" i="15"/>
  <c r="CN30" i="14"/>
  <c r="CN31" i="14"/>
  <c r="CP30" i="14"/>
  <c r="CX29" i="14"/>
  <c r="CN42" i="15"/>
  <c r="CP42" i="15"/>
  <c r="CX41" i="15"/>
  <c r="CN43" i="15"/>
  <c r="DL90" i="14"/>
  <c r="DB92" i="14"/>
  <c r="DB93" i="14"/>
  <c r="DD91" i="14"/>
  <c r="DD91" i="15"/>
  <c r="DL90" i="15"/>
  <c r="DB93" i="15"/>
  <c r="DB92" i="15"/>
  <c r="DD67" i="15"/>
  <c r="DB69" i="15"/>
  <c r="DB68" i="15"/>
  <c r="DL66" i="15"/>
  <c r="DB85" i="15"/>
  <c r="DB84" i="15"/>
  <c r="DL82" i="15"/>
  <c r="DD83" i="15"/>
  <c r="BE34" i="14"/>
  <c r="AX34" i="14" s="1"/>
  <c r="BO33" i="14"/>
  <c r="BO34" i="14"/>
  <c r="BD34" i="14"/>
  <c r="AW34" i="14" s="1"/>
  <c r="BE40" i="15"/>
  <c r="AX40" i="15" s="1"/>
  <c r="BO40" i="15"/>
  <c r="BQ40" i="15" s="1"/>
  <c r="BD40" i="15"/>
  <c r="AW40" i="15" s="1"/>
  <c r="BO39" i="15"/>
  <c r="BP28" i="14"/>
  <c r="BG28" i="14"/>
  <c r="AZ28" i="14" s="1"/>
  <c r="BP27" i="14"/>
  <c r="BH28" i="14"/>
  <c r="BA28" i="14" s="1"/>
  <c r="AR66" i="15"/>
  <c r="AR67" i="15"/>
  <c r="AR58" i="14"/>
  <c r="AR59" i="14"/>
  <c r="AS58" i="14"/>
  <c r="AS59" i="14"/>
  <c r="AR91" i="15"/>
  <c r="AR90" i="15"/>
  <c r="AR75" i="14"/>
  <c r="AR74" i="14"/>
  <c r="BP39" i="15"/>
  <c r="BP40" i="15"/>
  <c r="BH40" i="15"/>
  <c r="BA40" i="15" s="1"/>
  <c r="BG40" i="15"/>
  <c r="AZ40" i="15" s="1"/>
  <c r="CM30" i="14"/>
  <c r="CM31" i="14"/>
  <c r="CO30" i="14"/>
  <c r="CX35" i="14"/>
  <c r="CP36" i="14"/>
  <c r="CN37" i="14"/>
  <c r="CN36" i="14"/>
  <c r="CM30" i="15"/>
  <c r="CO30" i="15"/>
  <c r="CM31" i="15"/>
  <c r="DA77" i="15"/>
  <c r="DC75" i="15"/>
  <c r="DK74" i="15"/>
  <c r="DA76" i="15"/>
  <c r="DC83" i="14"/>
  <c r="DA85" i="14"/>
  <c r="DA84" i="14"/>
  <c r="DK82" i="14"/>
  <c r="DA61" i="14"/>
  <c r="DA60" i="14"/>
  <c r="DD75" i="15"/>
  <c r="DB77" i="15"/>
  <c r="DL74" i="15"/>
  <c r="DB76" i="15"/>
  <c r="DB60" i="14"/>
  <c r="DB61" i="14"/>
  <c r="CP30" i="15"/>
  <c r="CX29" i="15"/>
  <c r="CN31" i="15"/>
  <c r="CN30" i="15"/>
  <c r="DL82" i="14"/>
  <c r="DB84" i="14"/>
  <c r="DD83" i="14"/>
  <c r="DB85" i="14"/>
  <c r="BO21" i="15"/>
  <c r="BD22" i="15"/>
  <c r="AW22" i="15" s="1"/>
  <c r="BO22" i="15"/>
  <c r="BE22" i="15"/>
  <c r="AX22" i="15" s="1"/>
  <c r="AR82" i="14"/>
  <c r="AR83" i="14"/>
  <c r="BP34" i="14"/>
  <c r="BG34" i="14"/>
  <c r="AZ34" i="14" s="1"/>
  <c r="BH34" i="14"/>
  <c r="BA34" i="14" s="1"/>
  <c r="BP33" i="14"/>
  <c r="BE28" i="15"/>
  <c r="AX28" i="15" s="1"/>
  <c r="BD28" i="15"/>
  <c r="AW28" i="15" s="1"/>
  <c r="BO27" i="15"/>
  <c r="BQ27" i="15" s="1"/>
  <c r="BO28" i="15"/>
  <c r="BQ28" i="15" s="1"/>
  <c r="BP21" i="15"/>
  <c r="BP22" i="15"/>
  <c r="BH22" i="15"/>
  <c r="BA22" i="15" s="1"/>
  <c r="BG22" i="15"/>
  <c r="AZ22" i="15" s="1"/>
  <c r="AS74" i="14"/>
  <c r="AS75" i="14"/>
  <c r="AR59" i="15"/>
  <c r="AR58" i="15"/>
  <c r="AS90" i="14"/>
  <c r="AS91" i="14"/>
  <c r="AS58" i="15"/>
  <c r="AS59" i="15"/>
  <c r="CP18" i="14"/>
  <c r="DC75" i="14"/>
  <c r="BS73" i="14"/>
  <c r="BE16" i="14"/>
  <c r="AX16" i="14" s="1"/>
  <c r="CO18" i="14"/>
  <c r="CP36" i="15"/>
  <c r="BU19" i="14"/>
  <c r="BY19" i="14" s="1"/>
  <c r="BM15" i="14" s="1"/>
  <c r="CR46" i="3"/>
  <c r="BD34" i="15"/>
  <c r="AW34" i="15" s="1"/>
  <c r="CO36" i="15"/>
  <c r="BG34" i="15"/>
  <c r="AZ34" i="15" s="1"/>
  <c r="CP9" i="3"/>
  <c r="FX104" i="3"/>
  <c r="FR104" i="3" s="1"/>
  <c r="CR49" i="3"/>
  <c r="CP125" i="3"/>
  <c r="CP119" i="3"/>
  <c r="CR47" i="3"/>
  <c r="DO10" i="3"/>
  <c r="EV17" i="3"/>
  <c r="EP17" i="3" s="1"/>
  <c r="EU17" i="3"/>
  <c r="EO17" i="3" s="1"/>
  <c r="EZ24" i="3"/>
  <c r="EU24" i="3" s="1"/>
  <c r="EO24" i="3" s="1"/>
  <c r="EX98" i="3"/>
  <c r="FX112" i="3"/>
  <c r="FR112" i="3" s="1"/>
  <c r="CW82" i="3"/>
  <c r="CW74" i="3"/>
  <c r="EE74" i="3" s="1"/>
  <c r="DY74" i="3" s="1"/>
  <c r="DS74" i="3" s="1"/>
  <c r="DX74" i="3" s="1"/>
  <c r="L74" i="3" s="1"/>
  <c r="CW76" i="3"/>
  <c r="CW77" i="3"/>
  <c r="EE77" i="3" s="1"/>
  <c r="EE127" i="3" s="1"/>
  <c r="CW83" i="3"/>
  <c r="EE83" i="3" s="1"/>
  <c r="DY83" i="3" s="1"/>
  <c r="DS83" i="3" s="1"/>
  <c r="CW85" i="3"/>
  <c r="EE85" i="3" s="1"/>
  <c r="DY85" i="3" s="1"/>
  <c r="DS85" i="3" s="1"/>
  <c r="EC43" i="3"/>
  <c r="EC52" i="3"/>
  <c r="EC49" i="3"/>
  <c r="DC303" i="3"/>
  <c r="DC302" i="3" s="1"/>
  <c r="EX55" i="3"/>
  <c r="ES55" i="3" s="1"/>
  <c r="EM55" i="3" s="1"/>
  <c r="EX67" i="3"/>
  <c r="ES67" i="3" s="1"/>
  <c r="EM67" i="3" s="1"/>
  <c r="DA67" i="3"/>
  <c r="EX58" i="3"/>
  <c r="ES58" i="3" s="1"/>
  <c r="EM58" i="3" s="1"/>
  <c r="DA58" i="3"/>
  <c r="EX61" i="3"/>
  <c r="ES61" i="3" s="1"/>
  <c r="EM61" i="3" s="1"/>
  <c r="DA61" i="3"/>
  <c r="EX64" i="3"/>
  <c r="ES64" i="3" s="1"/>
  <c r="EM64" i="3" s="1"/>
  <c r="CQ55" i="3"/>
  <c r="FA55" i="3"/>
  <c r="EV55" i="3" s="1"/>
  <c r="EP55" i="3" s="1"/>
  <c r="ED55" i="3"/>
  <c r="EE55" i="3" s="1"/>
  <c r="EZ55" i="3"/>
  <c r="EU55" i="3" s="1"/>
  <c r="EO55" i="3" s="1"/>
  <c r="DE55" i="3"/>
  <c r="AH55" i="3" s="1"/>
  <c r="O55" i="3" s="1"/>
  <c r="EZ58" i="3"/>
  <c r="EU58" i="3" s="1"/>
  <c r="EO58" i="3" s="1"/>
  <c r="CQ58" i="3"/>
  <c r="ED58" i="3"/>
  <c r="EE58" i="3" s="1"/>
  <c r="FA58" i="3"/>
  <c r="EV58" i="3" s="1"/>
  <c r="EP58" i="3" s="1"/>
  <c r="DE58" i="3"/>
  <c r="DC58" i="3"/>
  <c r="DD58" i="3"/>
  <c r="DB59" i="3"/>
  <c r="EB59" i="3"/>
  <c r="EB61" i="3"/>
  <c r="DB61" i="3"/>
  <c r="CZ61" i="3"/>
  <c r="EW61" i="3"/>
  <c r="ER61" i="3" s="1"/>
  <c r="EL61" i="3" s="1"/>
  <c r="EQ61" i="3" s="1"/>
  <c r="CQ62" i="3"/>
  <c r="DC62" i="3"/>
  <c r="EU62" i="3"/>
  <c r="EO62" i="3" s="1"/>
  <c r="EV62" i="3"/>
  <c r="EP62" i="3" s="1"/>
  <c r="DE62" i="3"/>
  <c r="DA62" i="3"/>
  <c r="ED62" i="3"/>
  <c r="EE62" i="3" s="1"/>
  <c r="DD62" i="3"/>
  <c r="DB64" i="3"/>
  <c r="EB64" i="3"/>
  <c r="EW64" i="3"/>
  <c r="ER64" i="3" s="1"/>
  <c r="EL64" i="3" s="1"/>
  <c r="CQ65" i="3"/>
  <c r="EV65" i="3"/>
  <c r="EP65" i="3" s="1"/>
  <c r="DE65" i="3"/>
  <c r="EU65" i="3"/>
  <c r="EO65" i="3" s="1"/>
  <c r="EZ67" i="3"/>
  <c r="EU67" i="3" s="1"/>
  <c r="EO67" i="3" s="1"/>
  <c r="CQ67" i="3"/>
  <c r="ED67" i="3"/>
  <c r="EE67" i="3" s="1"/>
  <c r="FA67" i="3"/>
  <c r="EV67" i="3" s="1"/>
  <c r="EP67" i="3" s="1"/>
  <c r="DE67" i="3"/>
  <c r="DD67" i="3"/>
  <c r="DC67" i="3"/>
  <c r="CQ68" i="3"/>
  <c r="EV68" i="3"/>
  <c r="EP68" i="3" s="1"/>
  <c r="EU68" i="3"/>
  <c r="EO68" i="3" s="1"/>
  <c r="DE68" i="3"/>
  <c r="DC68" i="3"/>
  <c r="DD68" i="3"/>
  <c r="DA68" i="3"/>
  <c r="ED68" i="3"/>
  <c r="EE68" i="3" s="1"/>
  <c r="EB55" i="3"/>
  <c r="EW55" i="3"/>
  <c r="ER55" i="3" s="1"/>
  <c r="EL55" i="3" s="1"/>
  <c r="EQ55" i="3" s="1"/>
  <c r="M55" i="3" s="1"/>
  <c r="DB55" i="3"/>
  <c r="AE55" i="3" s="1"/>
  <c r="EV56" i="3"/>
  <c r="EP56" i="3" s="1"/>
  <c r="CQ56" i="3"/>
  <c r="EU56" i="3"/>
  <c r="EO56" i="3" s="1"/>
  <c r="DE56" i="3"/>
  <c r="EW58" i="3"/>
  <c r="ER58" i="3" s="1"/>
  <c r="EL58" i="3" s="1"/>
  <c r="EQ58" i="3" s="1"/>
  <c r="DB58" i="3"/>
  <c r="EB58" i="3"/>
  <c r="CZ58" i="3"/>
  <c r="CQ59" i="3"/>
  <c r="EV59" i="3"/>
  <c r="EP59" i="3" s="1"/>
  <c r="EU59" i="3"/>
  <c r="EO59" i="3" s="1"/>
  <c r="DE59" i="3"/>
  <c r="DD59" i="3"/>
  <c r="DC59" i="3"/>
  <c r="ED59" i="3"/>
  <c r="EE59" i="3" s="1"/>
  <c r="DA59" i="3"/>
  <c r="DE61" i="3"/>
  <c r="ED61" i="3"/>
  <c r="EE61" i="3" s="1"/>
  <c r="FA61" i="3"/>
  <c r="EV61" i="3" s="1"/>
  <c r="EP61" i="3" s="1"/>
  <c r="CQ61" i="3"/>
  <c r="EZ61" i="3"/>
  <c r="EU61" i="3" s="1"/>
  <c r="EO61" i="3" s="1"/>
  <c r="DC61" i="3"/>
  <c r="DD61" i="3"/>
  <c r="DB62" i="3"/>
  <c r="EB62" i="3"/>
  <c r="CQ64" i="3"/>
  <c r="FA64" i="3"/>
  <c r="EV64" i="3" s="1"/>
  <c r="EP64" i="3" s="1"/>
  <c r="DE64" i="3"/>
  <c r="ED64" i="3"/>
  <c r="EE64" i="3" s="1"/>
  <c r="EZ64" i="3"/>
  <c r="EU64" i="3" s="1"/>
  <c r="EO64" i="3" s="1"/>
  <c r="EQ64" i="3" s="1"/>
  <c r="M64" i="3" s="1"/>
  <c r="EB67" i="3"/>
  <c r="EC67" i="3" s="1"/>
  <c r="DB67" i="3"/>
  <c r="EW67" i="3"/>
  <c r="ER67" i="3" s="1"/>
  <c r="EL67" i="3" s="1"/>
  <c r="EQ67" i="3" s="1"/>
  <c r="CZ67" i="3"/>
  <c r="DB68" i="3"/>
  <c r="EB68" i="3"/>
  <c r="EI65" i="3"/>
  <c r="CS65" i="3"/>
  <c r="EJ65" i="3"/>
  <c r="DG65" i="3"/>
  <c r="DF65" i="3"/>
  <c r="DY65" i="3"/>
  <c r="EA65" i="3" s="1"/>
  <c r="CY37" i="3"/>
  <c r="EW36" i="3"/>
  <c r="ER36" i="3" s="1"/>
  <c r="EL36" i="3" s="1"/>
  <c r="CP36" i="3"/>
  <c r="E29" i="18"/>
  <c r="BQ73" i="14"/>
  <c r="BR74" i="14" s="1"/>
  <c r="AY432" i="14"/>
  <c r="AT432" i="14" s="1"/>
  <c r="AT431" i="14"/>
  <c r="E3" i="18"/>
  <c r="J20" i="18"/>
  <c r="J21" i="18"/>
  <c r="I20" i="18"/>
  <c r="I21" i="18"/>
  <c r="EJ56" i="3"/>
  <c r="EI56" i="3"/>
  <c r="CS56" i="3"/>
  <c r="DF56" i="3"/>
  <c r="DG56" i="3"/>
  <c r="DY56" i="3"/>
  <c r="EA56" i="3" s="1"/>
  <c r="CP67" i="3"/>
  <c r="CR67" i="3" s="1"/>
  <c r="CP59" i="3"/>
  <c r="CR59" i="3" s="1"/>
  <c r="EC59" i="3"/>
  <c r="CP65" i="3"/>
  <c r="CR65" i="3" s="1"/>
  <c r="CP61" i="3"/>
  <c r="CR61" i="3" s="1"/>
  <c r="EC61" i="3"/>
  <c r="CP64" i="3"/>
  <c r="CR64" i="3" s="1"/>
  <c r="EC64" i="3"/>
  <c r="CP56" i="3"/>
  <c r="CR56" i="3" s="1"/>
  <c r="CP58" i="3"/>
  <c r="CR58" i="3" s="1"/>
  <c r="EC58" i="3"/>
  <c r="CP62" i="3"/>
  <c r="CR62" i="3" s="1"/>
  <c r="EC62" i="3"/>
  <c r="CP55" i="3"/>
  <c r="CR55" i="3" s="1"/>
  <c r="EC55" i="3"/>
  <c r="CN55" i="3" s="1"/>
  <c r="AN55" i="3" s="1"/>
  <c r="AO55" i="3" s="1"/>
  <c r="CP68" i="3"/>
  <c r="CR68" i="3" s="1"/>
  <c r="EC68" i="3"/>
  <c r="BO34" i="15"/>
  <c r="BO33" i="15"/>
  <c r="BA78" i="14"/>
  <c r="BP33" i="15"/>
  <c r="BP34" i="15"/>
  <c r="BB78" i="14"/>
  <c r="BT74" i="14"/>
  <c r="BS75" i="14"/>
  <c r="BX37" i="15"/>
  <c r="BX36" i="15"/>
  <c r="BY37" i="15"/>
  <c r="CB59" i="15"/>
  <c r="CB60" i="15"/>
  <c r="BY43" i="15"/>
  <c r="BX43" i="15"/>
  <c r="BX42" i="15"/>
  <c r="CB68" i="15"/>
  <c r="CC68" i="15"/>
  <c r="CB67" i="15"/>
  <c r="BX37" i="14"/>
  <c r="BX36" i="14"/>
  <c r="BY37" i="14"/>
  <c r="CB76" i="15"/>
  <c r="CB75" i="15"/>
  <c r="CC76" i="15"/>
  <c r="BX24" i="15"/>
  <c r="BX25" i="15"/>
  <c r="BY25" i="15"/>
  <c r="BX42" i="14"/>
  <c r="BY43" i="14"/>
  <c r="BX43" i="14"/>
  <c r="EI43" i="3"/>
  <c r="DG43" i="3"/>
  <c r="DF43" i="3"/>
  <c r="EJ43" i="3"/>
  <c r="AC43" i="3"/>
  <c r="N43" i="3" s="1"/>
  <c r="CS43" i="3"/>
  <c r="Y43" i="3" s="1"/>
  <c r="AD43" i="3"/>
  <c r="EI49" i="3"/>
  <c r="DF49" i="3"/>
  <c r="DG49" i="3"/>
  <c r="EJ49" i="3"/>
  <c r="AA49" i="3" s="1"/>
  <c r="CS49" i="3" s="1"/>
  <c r="Y49" i="3" s="1"/>
  <c r="BX31" i="15"/>
  <c r="BY31" i="15"/>
  <c r="BX30" i="15"/>
  <c r="CB83" i="15"/>
  <c r="CB84" i="15"/>
  <c r="CC84" i="15"/>
  <c r="CC92" i="14"/>
  <c r="CB92" i="14"/>
  <c r="CB91" i="14"/>
  <c r="CB67" i="14"/>
  <c r="CB68" i="14"/>
  <c r="CC68" i="14"/>
  <c r="BX24" i="14"/>
  <c r="BY25" i="14"/>
  <c r="BX25" i="14"/>
  <c r="DG44" i="3"/>
  <c r="DY44" i="3"/>
  <c r="EA44" i="3" s="1"/>
  <c r="CS44" i="3"/>
  <c r="EI44" i="3"/>
  <c r="EJ44" i="3"/>
  <c r="DF44" i="3"/>
  <c r="DC44" i="3" s="1"/>
  <c r="AF44" i="3" s="1"/>
  <c r="AC44" i="3"/>
  <c r="DG53" i="3"/>
  <c r="DY53" i="3"/>
  <c r="EA53" i="3" s="1"/>
  <c r="CS53" i="3"/>
  <c r="EI53" i="3"/>
  <c r="EJ53" i="3"/>
  <c r="DF53" i="3"/>
  <c r="DC53" i="3" s="1"/>
  <c r="AF53" i="3" s="1"/>
  <c r="AC53" i="3"/>
  <c r="DG50" i="3"/>
  <c r="DY50" i="3"/>
  <c r="EA50" i="3" s="1"/>
  <c r="CS50" i="3"/>
  <c r="EI50" i="3"/>
  <c r="EJ50" i="3"/>
  <c r="DF50" i="3"/>
  <c r="DC50" i="3" s="1"/>
  <c r="AF50" i="3" s="1"/>
  <c r="AC50" i="3"/>
  <c r="DG47" i="3"/>
  <c r="DY47" i="3"/>
  <c r="EA47" i="3" s="1"/>
  <c r="CS47" i="3"/>
  <c r="EI47" i="3"/>
  <c r="EJ47" i="3"/>
  <c r="DF47" i="3"/>
  <c r="DC47" i="3" s="1"/>
  <c r="AF47" i="3" s="1"/>
  <c r="AC47" i="3"/>
  <c r="N47" i="3" s="1"/>
  <c r="BX18" i="14"/>
  <c r="CA18" i="14" s="1"/>
  <c r="BX19" i="14"/>
  <c r="CB91" i="15"/>
  <c r="CC92" i="15"/>
  <c r="CB92" i="15"/>
  <c r="DG89" i="15" s="1"/>
  <c r="BX19" i="15"/>
  <c r="BX18" i="15"/>
  <c r="CC76" i="14"/>
  <c r="CB75" i="14"/>
  <c r="CB76" i="14"/>
  <c r="CB59" i="14"/>
  <c r="CE59" i="14" s="1"/>
  <c r="CB60" i="14"/>
  <c r="CB83" i="14"/>
  <c r="CC84" i="14"/>
  <c r="CB84" i="14"/>
  <c r="BY31" i="14"/>
  <c r="BX31" i="14"/>
  <c r="BX30" i="14"/>
  <c r="DF52" i="3"/>
  <c r="DG52" i="3"/>
  <c r="EI52" i="3"/>
  <c r="EJ52" i="3"/>
  <c r="CS52" i="3"/>
  <c r="Y52" i="3" s="1"/>
  <c r="EI46" i="3"/>
  <c r="EJ46" i="3"/>
  <c r="DF46" i="3"/>
  <c r="DG46" i="3"/>
  <c r="CS46" i="3"/>
  <c r="Y46" i="3" s="1"/>
  <c r="ES41" i="3"/>
  <c r="EM41" i="3" s="1"/>
  <c r="EV41" i="3"/>
  <c r="EP41" i="3" s="1"/>
  <c r="EW40" i="3"/>
  <c r="ER40" i="3" s="1"/>
  <c r="EX40" i="3"/>
  <c r="ES40" i="3" s="1"/>
  <c r="EM40" i="3" s="1"/>
  <c r="FY104" i="3"/>
  <c r="FS104" i="3" s="1"/>
  <c r="FL104" i="3" s="1"/>
  <c r="BJ15" i="14"/>
  <c r="BD15" i="14" s="1"/>
  <c r="AW15" i="14" s="1"/>
  <c r="EW105" i="3"/>
  <c r="EY105" i="3" s="1"/>
  <c r="BA62" i="15"/>
  <c r="BO16" i="15"/>
  <c r="BO15" i="15"/>
  <c r="BP15" i="15"/>
  <c r="BP16" i="15"/>
  <c r="BJ16" i="14"/>
  <c r="BG19" i="14" s="1"/>
  <c r="CC60" i="15"/>
  <c r="DD59" i="15"/>
  <c r="BT57" i="15"/>
  <c r="BS58" i="15" s="1"/>
  <c r="DC59" i="15"/>
  <c r="BS57" i="15"/>
  <c r="BR57" i="15"/>
  <c r="BQ58" i="15" s="1"/>
  <c r="BQ57" i="15"/>
  <c r="BR58" i="15" s="1"/>
  <c r="AW62" i="14"/>
  <c r="AW62" i="15"/>
  <c r="CE59" i="15"/>
  <c r="AX62" i="15"/>
  <c r="AY62" i="14"/>
  <c r="AY62" i="15"/>
  <c r="AZ62" i="15"/>
  <c r="BO15" i="14"/>
  <c r="BO16" i="14"/>
  <c r="BA62" i="14"/>
  <c r="BB62" i="14"/>
  <c r="BB62" i="15"/>
  <c r="BK15" i="14"/>
  <c r="BN15" i="14"/>
  <c r="CC60" i="14"/>
  <c r="DD59" i="14"/>
  <c r="BT57" i="14"/>
  <c r="BS58" i="14" s="1"/>
  <c r="BS57" i="14"/>
  <c r="BT58" i="14" s="1"/>
  <c r="DC59" i="14"/>
  <c r="BR57" i="14"/>
  <c r="BQ57" i="14"/>
  <c r="BR58" i="14" s="1"/>
  <c r="BM8" i="15"/>
  <c r="BM9" i="15" s="1"/>
  <c r="BJ10" i="15"/>
  <c r="BY19" i="15"/>
  <c r="BG16" i="15"/>
  <c r="AZ16" i="15" s="1"/>
  <c r="BH16" i="15"/>
  <c r="BA16" i="15" s="1"/>
  <c r="CP18" i="15"/>
  <c r="BE16" i="15"/>
  <c r="AX16" i="15" s="1"/>
  <c r="BD16" i="15"/>
  <c r="AW16" i="15" s="1"/>
  <c r="CO18" i="15"/>
  <c r="CA18" i="15"/>
  <c r="AX62" i="14"/>
  <c r="AZ62" i="14"/>
  <c r="BP16" i="14"/>
  <c r="BP15" i="14"/>
  <c r="EI83" i="3"/>
  <c r="EC83" i="3" s="1"/>
  <c r="DW83" i="3" s="1"/>
  <c r="EF84" i="3"/>
  <c r="DZ84" i="3" s="1"/>
  <c r="DT84" i="3" s="1"/>
  <c r="FV123" i="3"/>
  <c r="FO123" i="3" s="1"/>
  <c r="CQ123" i="3"/>
  <c r="EI81" i="3"/>
  <c r="EC81" i="3" s="1"/>
  <c r="DW81" i="3" s="1"/>
  <c r="EC82" i="3"/>
  <c r="DW82" i="3" s="1"/>
  <c r="EF82" i="3"/>
  <c r="DZ82" i="3" s="1"/>
  <c r="DT82" i="3" s="1"/>
  <c r="EI84" i="3"/>
  <c r="EC84" i="3" s="1"/>
  <c r="DW84" i="3" s="1"/>
  <c r="GA122" i="3"/>
  <c r="FU122" i="3" s="1"/>
  <c r="FN122" i="3" s="1"/>
  <c r="CQ122" i="3"/>
  <c r="GB122" i="3"/>
  <c r="FV122" i="3" s="1"/>
  <c r="FO122" i="3" s="1"/>
  <c r="FU123" i="3"/>
  <c r="FN123" i="3" s="1"/>
  <c r="EM124" i="3"/>
  <c r="Z124" i="3" s="1"/>
  <c r="DC90" i="3"/>
  <c r="CY90" i="3" s="1"/>
  <c r="N90" i="3" s="1"/>
  <c r="DD90" i="3"/>
  <c r="CZ90" i="3" s="1"/>
  <c r="O90" i="3" s="1"/>
  <c r="EI85" i="3"/>
  <c r="EC85" i="3" s="1"/>
  <c r="DW85" i="3" s="1"/>
  <c r="EH85" i="3"/>
  <c r="EB85" i="3" s="1"/>
  <c r="DV85" i="3" s="1"/>
  <c r="EC86" i="3"/>
  <c r="DW86" i="3" s="1"/>
  <c r="EF86" i="3"/>
  <c r="DZ86" i="3" s="1"/>
  <c r="DT86" i="3" s="1"/>
  <c r="EU8" i="3"/>
  <c r="DY77" i="3"/>
  <c r="DY127" i="3" s="1"/>
  <c r="CU32" i="3"/>
  <c r="CX32" i="3" s="1"/>
  <c r="EB32" i="3" s="1"/>
  <c r="CY32" i="3"/>
  <c r="CQ23" i="3"/>
  <c r="CQ37" i="3"/>
  <c r="CQ33" i="3"/>
  <c r="CQ35" i="3"/>
  <c r="ED105" i="3"/>
  <c r="DK105" i="3"/>
  <c r="DL105" i="3"/>
  <c r="DK116" i="3"/>
  <c r="DL116" i="3"/>
  <c r="DC346" i="3"/>
  <c r="DC345" i="3" s="1"/>
  <c r="EZ22" i="3"/>
  <c r="EU22" i="3" s="1"/>
  <c r="EO22" i="3" s="1"/>
  <c r="EZ34" i="3"/>
  <c r="EU34" i="3" s="1"/>
  <c r="EO34" i="3" s="1"/>
  <c r="EZ36" i="3"/>
  <c r="EU36" i="3" s="1"/>
  <c r="EO36" i="3" s="1"/>
  <c r="EE73" i="3"/>
  <c r="DY73" i="3" s="1"/>
  <c r="DS73" i="3" s="1"/>
  <c r="CT338" i="3"/>
  <c r="CT384" i="3"/>
  <c r="CT385" i="3" s="1"/>
  <c r="CR338" i="3"/>
  <c r="CR384" i="3"/>
  <c r="CR385" i="3" s="1"/>
  <c r="CT339" i="3"/>
  <c r="CT433" i="3" s="1"/>
  <c r="CT434" i="3" s="1"/>
  <c r="CU341" i="3"/>
  <c r="CU338" i="3"/>
  <c r="CR339" i="3"/>
  <c r="CR433" i="3" s="1"/>
  <c r="CR434" i="3" s="1"/>
  <c r="CS341" i="3"/>
  <c r="CS338" i="3"/>
  <c r="Y21" i="14"/>
  <c r="EI112" i="3"/>
  <c r="EJ112" i="3" s="1"/>
  <c r="GB112" i="3"/>
  <c r="FV112" i="3" s="1"/>
  <c r="FO112" i="3" s="1"/>
  <c r="DJ112" i="3"/>
  <c r="GA112" i="3"/>
  <c r="FU112" i="3" s="1"/>
  <c r="FN112" i="3" s="1"/>
  <c r="CQ112" i="3"/>
  <c r="EI118" i="3"/>
  <c r="EJ118" i="3" s="1"/>
  <c r="CQ118" i="3"/>
  <c r="GA118" i="3"/>
  <c r="FU118" i="3" s="1"/>
  <c r="FN118" i="3" s="1"/>
  <c r="GB118" i="3"/>
  <c r="FV118" i="3" s="1"/>
  <c r="FO118" i="3" s="1"/>
  <c r="DJ118" i="3"/>
  <c r="FS125" i="3"/>
  <c r="FL125" i="3" s="1"/>
  <c r="EG124" i="3"/>
  <c r="FY124" i="3"/>
  <c r="FS124" i="3" s="1"/>
  <c r="FL124" i="3" s="1"/>
  <c r="FS119" i="3"/>
  <c r="FL119" i="3" s="1"/>
  <c r="DG119" i="3"/>
  <c r="CQ125" i="3"/>
  <c r="CR125" i="3" s="1"/>
  <c r="FV125" i="3"/>
  <c r="FO125" i="3" s="1"/>
  <c r="FU125" i="3"/>
  <c r="FN125" i="3" s="1"/>
  <c r="EG118" i="3"/>
  <c r="EH118" i="3" s="1"/>
  <c r="FY118" i="3"/>
  <c r="FS118" i="3" s="1"/>
  <c r="FL118" i="3" s="1"/>
  <c r="DG118" i="3"/>
  <c r="DC109" i="3"/>
  <c r="DB115" i="3"/>
  <c r="EA108" i="3"/>
  <c r="EA114" i="3"/>
  <c r="AX346" i="14"/>
  <c r="AW347" i="14"/>
  <c r="FU113" i="3"/>
  <c r="FN113" i="3" s="1"/>
  <c r="FV113" i="3"/>
  <c r="FO113" i="3" s="1"/>
  <c r="DJ113" i="3"/>
  <c r="CQ113" i="3"/>
  <c r="CS113" i="3" s="1"/>
  <c r="FV119" i="3"/>
  <c r="FO119" i="3" s="1"/>
  <c r="CQ119" i="3"/>
  <c r="CS119" i="3" s="1"/>
  <c r="FU119" i="3"/>
  <c r="FN119" i="3" s="1"/>
  <c r="DJ119" i="3"/>
  <c r="FS113" i="3"/>
  <c r="FL113" i="3" s="1"/>
  <c r="DG113" i="3"/>
  <c r="EI124" i="3"/>
  <c r="EJ124" i="3" s="1"/>
  <c r="GB124" i="3"/>
  <c r="FV124" i="3" s="1"/>
  <c r="FO124" i="3" s="1"/>
  <c r="CQ124" i="3"/>
  <c r="GA124" i="3"/>
  <c r="FU124" i="3" s="1"/>
  <c r="FN124" i="3" s="1"/>
  <c r="EG112" i="3"/>
  <c r="EH112" i="3" s="1"/>
  <c r="FY112" i="3"/>
  <c r="FS112" i="3" s="1"/>
  <c r="FL112" i="3" s="1"/>
  <c r="DG112" i="3"/>
  <c r="EA109" i="3"/>
  <c r="EA115" i="3"/>
  <c r="DB114" i="3"/>
  <c r="DB109" i="3"/>
  <c r="DC115" i="3"/>
  <c r="EI108" i="3"/>
  <c r="DC108" i="3"/>
  <c r="DB108" i="3"/>
  <c r="EI114" i="3"/>
  <c r="DC114" i="3"/>
  <c r="AY434" i="15"/>
  <c r="AZ436" i="15"/>
  <c r="AZ433" i="15"/>
  <c r="AW433" i="15"/>
  <c r="AR433" i="15" s="1"/>
  <c r="AR432" i="15"/>
  <c r="AY342" i="15"/>
  <c r="AZ344" i="15"/>
  <c r="AZ341" i="15"/>
  <c r="AW341" i="15"/>
  <c r="AR341" i="15" s="1"/>
  <c r="AR340" i="15"/>
  <c r="AY389" i="15"/>
  <c r="AZ388" i="15"/>
  <c r="AZ391" i="15"/>
  <c r="AT387" i="15"/>
  <c r="AY388" i="15"/>
  <c r="AT388" i="15" s="1"/>
  <c r="AY433" i="15"/>
  <c r="AT433" i="15" s="1"/>
  <c r="AT432" i="15"/>
  <c r="AW434" i="15"/>
  <c r="AX436" i="15"/>
  <c r="AX433" i="15"/>
  <c r="AY341" i="15"/>
  <c r="AT341" i="15" s="1"/>
  <c r="AT340" i="15"/>
  <c r="AW342" i="15"/>
  <c r="AX344" i="15"/>
  <c r="AX341" i="15"/>
  <c r="AW389" i="15"/>
  <c r="AX388" i="15"/>
  <c r="AX391" i="15"/>
  <c r="AR387" i="15"/>
  <c r="AW388" i="15"/>
  <c r="AR388" i="15" s="1"/>
  <c r="AW433" i="14"/>
  <c r="AX435" i="14"/>
  <c r="AX432" i="14"/>
  <c r="AW432" i="14"/>
  <c r="AR432" i="14" s="1"/>
  <c r="AR431" i="14"/>
  <c r="AY433" i="14"/>
  <c r="AZ435" i="14"/>
  <c r="AZ432" i="14"/>
  <c r="AW386" i="14"/>
  <c r="AX388" i="14"/>
  <c r="AX385" i="14"/>
  <c r="AY385" i="14"/>
  <c r="AT385" i="14" s="1"/>
  <c r="AT384" i="14"/>
  <c r="AW385" i="14"/>
  <c r="AR385" i="14" s="1"/>
  <c r="AR384" i="14"/>
  <c r="AY386" i="14"/>
  <c r="AZ388" i="14"/>
  <c r="AZ385" i="14"/>
  <c r="P89" i="14"/>
  <c r="AZ346" i="14"/>
  <c r="AU392" i="14"/>
  <c r="AU389" i="14"/>
  <c r="AS392" i="14"/>
  <c r="AS389" i="14"/>
  <c r="EN101" i="3"/>
  <c r="EB10" i="3"/>
  <c r="CP10" i="3"/>
  <c r="FA20" i="3"/>
  <c r="EV20" i="3" s="1"/>
  <c r="EP20" i="3" s="1"/>
  <c r="CQ20" i="3"/>
  <c r="ED20" i="3"/>
  <c r="ED12" i="3"/>
  <c r="EE12" i="3" s="1"/>
  <c r="CQ12" i="3"/>
  <c r="CR12" i="3" s="1"/>
  <c r="ED18" i="3"/>
  <c r="EE18" i="3" s="1"/>
  <c r="CQ18" i="3"/>
  <c r="ED14" i="3"/>
  <c r="EE14" i="3" s="1"/>
  <c r="CQ14" i="3"/>
  <c r="CR14" i="3" s="1"/>
  <c r="EB30" i="3"/>
  <c r="CP30" i="3"/>
  <c r="EV11" i="3"/>
  <c r="EP11" i="3" s="1"/>
  <c r="CQ11" i="3"/>
  <c r="CR11" i="3" s="1"/>
  <c r="EM100" i="3"/>
  <c r="EG100" i="3"/>
  <c r="ED38" i="3"/>
  <c r="CQ38" i="3"/>
  <c r="CR38" i="3" s="1"/>
  <c r="CQ24" i="3"/>
  <c r="ED24" i="3"/>
  <c r="EU10" i="3"/>
  <c r="EO10" i="3" s="1"/>
  <c r="CQ25" i="3"/>
  <c r="CR25" i="3" s="1"/>
  <c r="CQ27" i="3"/>
  <c r="CR27" i="3" s="1"/>
  <c r="CQ29" i="3"/>
  <c r="CR29" i="3" s="1"/>
  <c r="CQ31" i="3"/>
  <c r="CR31" i="3" s="1"/>
  <c r="CP33" i="3"/>
  <c r="CQ21" i="3"/>
  <c r="EM101" i="3"/>
  <c r="CP20" i="3"/>
  <c r="EB20" i="3"/>
  <c r="ED16" i="3"/>
  <c r="EE16" i="3" s="1"/>
  <c r="CQ16" i="3"/>
  <c r="ED30" i="3"/>
  <c r="CQ30" i="3"/>
  <c r="EN100" i="3"/>
  <c r="EI100" i="3"/>
  <c r="ED22" i="3"/>
  <c r="EE22" i="3" s="1"/>
  <c r="CQ22" i="3"/>
  <c r="CR22" i="3" s="1"/>
  <c r="EV15" i="3"/>
  <c r="EP15" i="3" s="1"/>
  <c r="CQ15" i="3"/>
  <c r="ED34" i="3"/>
  <c r="CQ34" i="3"/>
  <c r="CR34" i="3" s="1"/>
  <c r="CQ28" i="3"/>
  <c r="CR28" i="3" s="1"/>
  <c r="ED28" i="3"/>
  <c r="CQ36" i="3"/>
  <c r="CR36" i="3" s="1"/>
  <c r="ED36" i="3"/>
  <c r="CQ13" i="3"/>
  <c r="CR13" i="3" s="1"/>
  <c r="CQ19" i="3"/>
  <c r="AS341" i="14"/>
  <c r="AS338" i="14"/>
  <c r="AU341" i="14"/>
  <c r="AU338" i="14"/>
  <c r="AU433" i="14"/>
  <c r="AU430" i="14"/>
  <c r="AS433" i="14"/>
  <c r="AS430" i="14"/>
  <c r="AQ9" i="3"/>
  <c r="EE79" i="3"/>
  <c r="DY79" i="3" s="1"/>
  <c r="DS79" i="3" s="1"/>
  <c r="EU19" i="3"/>
  <c r="EO19" i="3" s="1"/>
  <c r="EU15" i="3"/>
  <c r="EO15" i="3" s="1"/>
  <c r="EZ28" i="3"/>
  <c r="EU28" i="3" s="1"/>
  <c r="EO28" i="3" s="1"/>
  <c r="EE84" i="3"/>
  <c r="DY84" i="3" s="1"/>
  <c r="DS84" i="3" s="1"/>
  <c r="EW99" i="3"/>
  <c r="EZ113" i="3"/>
  <c r="EW104" i="3"/>
  <c r="EY104" i="3" s="1"/>
  <c r="EZ104" i="3" s="1"/>
  <c r="FS105" i="3"/>
  <c r="FL105" i="3" s="1"/>
  <c r="EE82" i="3"/>
  <c r="DY82" i="3" s="1"/>
  <c r="DS82" i="3" s="1"/>
  <c r="DX82" i="3" s="1"/>
  <c r="EE86" i="3"/>
  <c r="DY86" i="3" s="1"/>
  <c r="DS86" i="3" s="1"/>
  <c r="DX86" i="3" s="1"/>
  <c r="EE80" i="3"/>
  <c r="DY80" i="3" s="1"/>
  <c r="DS80" i="3" s="1"/>
  <c r="FK125" i="3"/>
  <c r="FK111" i="3"/>
  <c r="FP111" i="3" s="1"/>
  <c r="R111" i="3" s="1"/>
  <c r="FK117" i="3"/>
  <c r="FP117" i="3" s="1"/>
  <c r="R117" i="3" s="1"/>
  <c r="FK122" i="3"/>
  <c r="FP122" i="3" s="1"/>
  <c r="R122" i="3" s="1"/>
  <c r="FK113" i="3"/>
  <c r="FP113" i="3" s="1"/>
  <c r="R113" i="3" s="1"/>
  <c r="FK123" i="3"/>
  <c r="FP123" i="3" s="1"/>
  <c r="R123" i="3" s="1"/>
  <c r="EX111" i="3"/>
  <c r="FA111" i="3" s="1"/>
  <c r="FB111" i="3" s="1"/>
  <c r="EX110" i="3"/>
  <c r="FA110" i="3" s="1"/>
  <c r="FB110" i="3" s="1"/>
  <c r="EX123" i="3"/>
  <c r="FA123" i="3" s="1"/>
  <c r="FB123" i="3" s="1"/>
  <c r="EX117" i="3"/>
  <c r="FA117" i="3" s="1"/>
  <c r="FB117" i="3" s="1"/>
  <c r="EX122" i="3"/>
  <c r="FA122" i="3" s="1"/>
  <c r="FB122" i="3" s="1"/>
  <c r="EX116" i="3"/>
  <c r="FA116" i="3" s="1"/>
  <c r="FB116" i="3" s="1"/>
  <c r="GD99" i="3"/>
  <c r="EB98" i="3"/>
  <c r="EQ99" i="3"/>
  <c r="DC98" i="3"/>
  <c r="CP98" i="3" s="1"/>
  <c r="DD98" i="3"/>
  <c r="GA98" i="3"/>
  <c r="FU98" i="3" s="1"/>
  <c r="FN98" i="3" s="1"/>
  <c r="FK119" i="3"/>
  <c r="FP119" i="3" s="1"/>
  <c r="R119" i="3" s="1"/>
  <c r="FK112" i="3"/>
  <c r="FP112" i="3" s="1"/>
  <c r="R112" i="3" s="1"/>
  <c r="FK118" i="3"/>
  <c r="FP118" i="3" s="1"/>
  <c r="R118" i="3" s="1"/>
  <c r="FK110" i="3"/>
  <c r="FP110" i="3" s="1"/>
  <c r="R110" i="3" s="1"/>
  <c r="EQ107" i="3"/>
  <c r="DC106" i="3"/>
  <c r="CP106" i="3" s="1"/>
  <c r="DD106" i="3"/>
  <c r="EI106" i="3" s="1"/>
  <c r="EX104" i="3"/>
  <c r="FA104" i="3" s="1"/>
  <c r="FB104" i="3" s="1"/>
  <c r="GA104" i="3"/>
  <c r="FU104" i="3" s="1"/>
  <c r="FN104" i="3" s="1"/>
  <c r="CQ104" i="3"/>
  <c r="FU105" i="3"/>
  <c r="FN105" i="3" s="1"/>
  <c r="GB104" i="3"/>
  <c r="FV104" i="3" s="1"/>
  <c r="FO104" i="3" s="1"/>
  <c r="CQ105" i="3"/>
  <c r="FV105" i="3"/>
  <c r="FO105" i="3" s="1"/>
  <c r="EX105" i="3"/>
  <c r="FA105" i="3" s="1"/>
  <c r="FB105" i="3" s="1"/>
  <c r="FK104" i="3"/>
  <c r="FP104" i="3" s="1"/>
  <c r="R104" i="3" s="1"/>
  <c r="FB109" i="3"/>
  <c r="DD129" i="3"/>
  <c r="DD130" i="3" s="1"/>
  <c r="DA134" i="3"/>
  <c r="DA135" i="3" s="1"/>
  <c r="DC352" i="3"/>
  <c r="DC351" i="3" s="1"/>
  <c r="EX10" i="3"/>
  <c r="ES10" i="3" s="1"/>
  <c r="EM10" i="3" s="1"/>
  <c r="DB310" i="3"/>
  <c r="DC337" i="3"/>
  <c r="DC336" i="3" s="1"/>
  <c r="DC343" i="3"/>
  <c r="DC342" i="3" s="1"/>
  <c r="DB307" i="3"/>
  <c r="CO279" i="3"/>
  <c r="CO280" i="3"/>
  <c r="CU423" i="3"/>
  <c r="CU420" i="3"/>
  <c r="CS423" i="3"/>
  <c r="CS420" i="3"/>
  <c r="CZ129" i="3"/>
  <c r="CZ130" i="3" s="1"/>
  <c r="DC134" i="3"/>
  <c r="DC135" i="3" s="1"/>
  <c r="DC129" i="3"/>
  <c r="DC130" i="3" s="1"/>
  <c r="CZ134" i="3"/>
  <c r="CZ135" i="3" s="1"/>
  <c r="CT105" i="3"/>
  <c r="X105" i="3" s="1"/>
  <c r="Y105" i="3" s="1"/>
  <c r="EE81" i="3"/>
  <c r="DY81" i="3" s="1"/>
  <c r="DS81" i="3" s="1"/>
  <c r="FH110" i="3"/>
  <c r="CV252" i="3"/>
  <c r="CU250" i="3"/>
  <c r="CT116" i="3"/>
  <c r="EU11" i="3"/>
  <c r="EO11" i="3" s="1"/>
  <c r="EW10" i="3"/>
  <c r="DH105" i="3"/>
  <c r="AD105" i="3" s="1"/>
  <c r="DE105" i="3"/>
  <c r="AA105" i="3" s="1"/>
  <c r="DH77" i="3"/>
  <c r="DG127" i="3"/>
  <c r="DH75" i="3"/>
  <c r="EF75" i="3" s="1"/>
  <c r="DZ75" i="3" s="1"/>
  <c r="DT75" i="3" s="1"/>
  <c r="CP112" i="3"/>
  <c r="CP118" i="3"/>
  <c r="CP124" i="3"/>
  <c r="EH124" i="3"/>
  <c r="CR119" i="3"/>
  <c r="CP105" i="3"/>
  <c r="EZ105" i="3"/>
  <c r="CP111" i="3"/>
  <c r="EZ111" i="3"/>
  <c r="EH104" i="3"/>
  <c r="CP104" i="3"/>
  <c r="DP93" i="3"/>
  <c r="EF93" i="3" s="1"/>
  <c r="DZ93" i="3" s="1"/>
  <c r="DT93" i="3" s="1"/>
  <c r="CW93" i="3"/>
  <c r="EE93" i="3" s="1"/>
  <c r="DY93" i="3" s="1"/>
  <c r="DS93" i="3" s="1"/>
  <c r="DX93" i="3" s="1"/>
  <c r="L93" i="3" s="1"/>
  <c r="DH74" i="3"/>
  <c r="EF74" i="3" s="1"/>
  <c r="DZ74" i="3" s="1"/>
  <c r="DT74" i="3" s="1"/>
  <c r="DH78" i="3"/>
  <c r="EF78" i="3" s="1"/>
  <c r="DZ78" i="3" s="1"/>
  <c r="DT78" i="3" s="1"/>
  <c r="EH122" i="3"/>
  <c r="CP122" i="3"/>
  <c r="EZ122" i="3"/>
  <c r="CP123" i="3"/>
  <c r="EZ123" i="3"/>
  <c r="CP116" i="3"/>
  <c r="EH116" i="3"/>
  <c r="EZ116" i="3"/>
  <c r="CP117" i="3"/>
  <c r="EZ117" i="3"/>
  <c r="EH110" i="3"/>
  <c r="CP110" i="3"/>
  <c r="EZ110" i="3"/>
  <c r="EZ115" i="3"/>
  <c r="EZ109" i="3"/>
  <c r="FV101" i="3"/>
  <c r="EW125" i="3"/>
  <c r="EY125" i="3" s="1"/>
  <c r="EZ125" i="3" s="1"/>
  <c r="EW124" i="3"/>
  <c r="EY124" i="3" s="1"/>
  <c r="EZ124" i="3" s="1"/>
  <c r="EX125" i="3"/>
  <c r="FA125" i="3" s="1"/>
  <c r="FB125" i="3" s="1"/>
  <c r="EX124" i="3"/>
  <c r="FA124" i="3" s="1"/>
  <c r="FB124" i="3" s="1"/>
  <c r="EW119" i="3"/>
  <c r="EY119" i="3" s="1"/>
  <c r="EZ119" i="3" s="1"/>
  <c r="EW118" i="3"/>
  <c r="EY118" i="3" s="1"/>
  <c r="EZ118" i="3" s="1"/>
  <c r="ET118" i="3"/>
  <c r="FH118" i="3" s="1"/>
  <c r="DF116" i="3"/>
  <c r="AB116" i="3" s="1"/>
  <c r="ET116" i="3"/>
  <c r="FH116" i="3" s="1"/>
  <c r="EU116" i="3"/>
  <c r="FI116" i="3" s="1"/>
  <c r="DI116" i="3"/>
  <c r="AE116" i="3" s="1"/>
  <c r="EX119" i="3"/>
  <c r="FA119" i="3" s="1"/>
  <c r="FB119" i="3" s="1"/>
  <c r="ES119" i="3"/>
  <c r="EU118" i="3"/>
  <c r="FI118" i="3" s="1"/>
  <c r="ES118" i="3"/>
  <c r="EX118" i="3"/>
  <c r="FA118" i="3" s="1"/>
  <c r="FB118" i="3" s="1"/>
  <c r="ER116" i="3"/>
  <c r="DE116" i="3"/>
  <c r="AA116" i="3" s="1"/>
  <c r="DH116" i="3"/>
  <c r="AD116" i="3" s="1"/>
  <c r="ES116" i="3"/>
  <c r="ES117" i="3"/>
  <c r="ER117" i="3"/>
  <c r="EU112" i="3"/>
  <c r="FI112" i="3" s="1"/>
  <c r="ET112" i="3"/>
  <c r="FH112" i="3" s="1"/>
  <c r="EL110" i="3"/>
  <c r="EK110" i="3"/>
  <c r="ER111" i="3"/>
  <c r="ES111" i="3"/>
  <c r="ES112" i="3"/>
  <c r="ES113" i="3"/>
  <c r="EW107" i="3"/>
  <c r="EY107" i="3" s="1"/>
  <c r="EZ107" i="3" s="1"/>
  <c r="EW106" i="3"/>
  <c r="EY106" i="3" s="1"/>
  <c r="EZ106" i="3" s="1"/>
  <c r="EF105" i="3"/>
  <c r="EL105" i="3"/>
  <c r="EX107" i="3"/>
  <c r="FA107" i="3" s="1"/>
  <c r="FB107" i="3" s="1"/>
  <c r="EX106" i="3"/>
  <c r="FA106" i="3" s="1"/>
  <c r="FB106" i="3" s="1"/>
  <c r="ET105" i="3"/>
  <c r="FH105" i="3" s="1"/>
  <c r="DI105" i="3"/>
  <c r="AE105" i="3" s="1"/>
  <c r="DF105" i="3"/>
  <c r="AB105" i="3" s="1"/>
  <c r="EU105" i="3"/>
  <c r="FI105" i="3" s="1"/>
  <c r="ES105" i="3"/>
  <c r="ER105" i="3"/>
  <c r="EX101" i="3"/>
  <c r="FA101" i="3" s="1"/>
  <c r="CZ100" i="3"/>
  <c r="EO100" i="3" s="1"/>
  <c r="EP100" i="3"/>
  <c r="EX99" i="3"/>
  <c r="FB101" i="3"/>
  <c r="FU101" i="3"/>
  <c r="FN101" i="3" s="1"/>
  <c r="EC22" i="3"/>
  <c r="ER8" i="3"/>
  <c r="EL8" i="3" s="1"/>
  <c r="EI77" i="3"/>
  <c r="EI127" i="3" s="1"/>
  <c r="EH77" i="3"/>
  <c r="EH127" i="3" s="1"/>
  <c r="EI75" i="3"/>
  <c r="EC75" i="3" s="1"/>
  <c r="DW75" i="3" s="1"/>
  <c r="EH75" i="3"/>
  <c r="EB75" i="3" s="1"/>
  <c r="DV75" i="3" s="1"/>
  <c r="EI78" i="3"/>
  <c r="EC78" i="3" s="1"/>
  <c r="DW78" i="3" s="1"/>
  <c r="EH78" i="3"/>
  <c r="EB78" i="3" s="1"/>
  <c r="DV78" i="3" s="1"/>
  <c r="EI74" i="3"/>
  <c r="EC74" i="3" s="1"/>
  <c r="DW74" i="3" s="1"/>
  <c r="EH74" i="3"/>
  <c r="EB74" i="3" s="1"/>
  <c r="DV74" i="3" s="1"/>
  <c r="DD92" i="3"/>
  <c r="DC92" i="3"/>
  <c r="DS77" i="3"/>
  <c r="DS127" i="3" s="1"/>
  <c r="DC74" i="3"/>
  <c r="DD74" i="3"/>
  <c r="EC24" i="3"/>
  <c r="EC18" i="3"/>
  <c r="ER18" i="3"/>
  <c r="EL18" i="3" s="1"/>
  <c r="EC36" i="3"/>
  <c r="DX87" i="3"/>
  <c r="L87" i="3" s="1"/>
  <c r="GB100" i="3"/>
  <c r="FV100" i="3" s="1"/>
  <c r="FO100" i="3" s="1"/>
  <c r="GB98" i="3"/>
  <c r="FV98" i="3" s="1"/>
  <c r="FO98" i="3" s="1"/>
  <c r="FY100" i="3"/>
  <c r="FS100" i="3" s="1"/>
  <c r="FL100" i="3" s="1"/>
  <c r="CR30" i="3"/>
  <c r="EC16" i="3"/>
  <c r="ER16" i="3"/>
  <c r="EL16" i="3" s="1"/>
  <c r="EU13" i="3"/>
  <c r="EO13" i="3" s="1"/>
  <c r="FA30" i="3"/>
  <c r="EV30" i="3" s="1"/>
  <c r="EP30" i="3" s="1"/>
  <c r="DX91" i="3"/>
  <c r="L91" i="3" s="1"/>
  <c r="DD91" i="3" s="1"/>
  <c r="Z100" i="3"/>
  <c r="EH100" i="3"/>
  <c r="EE36" i="3"/>
  <c r="EC38" i="3"/>
  <c r="EE38" i="3"/>
  <c r="EH83" i="3"/>
  <c r="EB83" i="3" s="1"/>
  <c r="DV83" i="3" s="1"/>
  <c r="GA100" i="3"/>
  <c r="FU100" i="3" s="1"/>
  <c r="FN100" i="3" s="1"/>
  <c r="FY98" i="3"/>
  <c r="FS98" i="3" s="1"/>
  <c r="FL98" i="3" s="1"/>
  <c r="EH82" i="3"/>
  <c r="EB82" i="3" s="1"/>
  <c r="DV82" i="3" s="1"/>
  <c r="EH81" i="3"/>
  <c r="EB81" i="3" s="1"/>
  <c r="DV81" i="3" s="1"/>
  <c r="EH84" i="3"/>
  <c r="EB84" i="3" s="1"/>
  <c r="DV84" i="3" s="1"/>
  <c r="FE115" i="3"/>
  <c r="FE108" i="3"/>
  <c r="FE109" i="3"/>
  <c r="FE114" i="3"/>
  <c r="CT252" i="3"/>
  <c r="CS250" i="3"/>
  <c r="CS251" i="3" s="1"/>
  <c r="DH81" i="3"/>
  <c r="DH85" i="3"/>
  <c r="CQ100" i="3"/>
  <c r="DH83" i="3"/>
  <c r="EJ100" i="3"/>
  <c r="DX83" i="3"/>
  <c r="DX84" i="3"/>
  <c r="CT210" i="3"/>
  <c r="CT213" i="3"/>
  <c r="CS211" i="3"/>
  <c r="CS212" i="3" s="1"/>
  <c r="DH73" i="3"/>
  <c r="EF73" i="3" s="1"/>
  <c r="DZ73" i="3" s="1"/>
  <c r="DT73" i="3" s="1"/>
  <c r="CU203" i="3"/>
  <c r="CV205" i="3"/>
  <c r="DO24" i="3"/>
  <c r="EX24" i="3" s="1"/>
  <c r="ES24" i="3" s="1"/>
  <c r="EM24" i="3" s="1"/>
  <c r="DO28" i="3"/>
  <c r="EX28" i="3" s="1"/>
  <c r="ES28" i="3" s="1"/>
  <c r="EM28" i="3" s="1"/>
  <c r="DO34" i="3"/>
  <c r="EX34" i="3" s="1"/>
  <c r="ES34" i="3" s="1"/>
  <c r="EM34" i="3" s="1"/>
  <c r="DO38" i="3"/>
  <c r="EX38" i="3" s="1"/>
  <c r="ES38" i="3" s="1"/>
  <c r="EM38" i="3" s="1"/>
  <c r="DO23" i="3"/>
  <c r="ES23" i="3" s="1"/>
  <c r="EM23" i="3" s="1"/>
  <c r="DO27" i="3"/>
  <c r="ES27" i="3" s="1"/>
  <c r="EM27" i="3" s="1"/>
  <c r="DO33" i="3"/>
  <c r="ES33" i="3" s="1"/>
  <c r="EM33" i="3" s="1"/>
  <c r="DO37" i="3"/>
  <c r="ES37" i="3" s="1"/>
  <c r="EM37" i="3" s="1"/>
  <c r="EH108" i="3"/>
  <c r="EZ108" i="3"/>
  <c r="CT159" i="3"/>
  <c r="CS157" i="3"/>
  <c r="CS158" i="3" s="1"/>
  <c r="DH79" i="3"/>
  <c r="DH76" i="3"/>
  <c r="DH126" i="3" s="1"/>
  <c r="EH114" i="3"/>
  <c r="EZ114" i="3"/>
  <c r="CV157" i="3"/>
  <c r="CU155" i="3"/>
  <c r="DO25" i="3"/>
  <c r="ES25" i="3" s="1"/>
  <c r="EM25" i="3" s="1"/>
  <c r="DO29" i="3"/>
  <c r="ES29" i="3" s="1"/>
  <c r="EM29" i="3" s="1"/>
  <c r="DO35" i="3"/>
  <c r="ES35" i="3" s="1"/>
  <c r="EM35" i="3" s="1"/>
  <c r="DO39" i="3"/>
  <c r="ES39" i="3" s="1"/>
  <c r="EM39" i="3" s="1"/>
  <c r="DO22" i="3"/>
  <c r="EX22" i="3" s="1"/>
  <c r="ES22" i="3" s="1"/>
  <c r="EM22" i="3" s="1"/>
  <c r="DO26" i="3"/>
  <c r="EX26" i="3" s="1"/>
  <c r="ES26" i="3" s="1"/>
  <c r="EM26" i="3" s="1"/>
  <c r="DO32" i="3"/>
  <c r="EX32" i="3" s="1"/>
  <c r="ES32" i="3" s="1"/>
  <c r="EM32" i="3" s="1"/>
  <c r="DO36" i="3"/>
  <c r="EE24" i="3"/>
  <c r="EE28" i="3"/>
  <c r="EQ34" i="3"/>
  <c r="M34" i="3" s="1"/>
  <c r="ER10" i="3"/>
  <c r="EL10" i="3" s="1"/>
  <c r="EQ10" i="3" s="1"/>
  <c r="M10" i="3" s="1"/>
  <c r="EE26" i="3"/>
  <c r="EC26" i="3"/>
  <c r="EC32" i="3"/>
  <c r="EC34" i="3"/>
  <c r="EE34" i="3"/>
  <c r="EQ38" i="3"/>
  <c r="M38" i="3" s="1"/>
  <c r="CS38" i="3" s="1"/>
  <c r="EU39" i="3"/>
  <c r="EO39" i="3" s="1"/>
  <c r="EV39" i="3"/>
  <c r="EP39" i="3" s="1"/>
  <c r="CR39" i="3"/>
  <c r="EU37" i="3"/>
  <c r="EO37" i="3" s="1"/>
  <c r="EV37" i="3"/>
  <c r="EP37" i="3" s="1"/>
  <c r="CR37" i="3"/>
  <c r="CR19" i="3"/>
  <c r="EH80" i="3"/>
  <c r="EE20" i="3"/>
  <c r="EC10" i="3"/>
  <c r="EU35" i="3"/>
  <c r="EO35" i="3" s="1"/>
  <c r="EV35" i="3"/>
  <c r="EP35" i="3" s="1"/>
  <c r="CR35" i="3"/>
  <c r="EU33" i="3"/>
  <c r="EO33" i="3" s="1"/>
  <c r="EV33" i="3"/>
  <c r="EP33" i="3" s="1"/>
  <c r="CR33" i="3"/>
  <c r="CR10" i="3"/>
  <c r="EQ28" i="3"/>
  <c r="M28" i="3" s="1"/>
  <c r="CS28" i="3" s="1"/>
  <c r="EU29" i="3"/>
  <c r="EO29" i="3" s="1"/>
  <c r="EV29" i="3"/>
  <c r="EP29" i="3" s="1"/>
  <c r="EQ26" i="3"/>
  <c r="M26" i="3" s="1"/>
  <c r="CS26" i="3" s="1"/>
  <c r="EU27" i="3"/>
  <c r="EO27" i="3" s="1"/>
  <c r="EV27" i="3"/>
  <c r="EP27" i="3" s="1"/>
  <c r="CR26" i="3"/>
  <c r="EQ24" i="3"/>
  <c r="M24" i="3" s="1"/>
  <c r="CS24" i="3" s="1"/>
  <c r="EU25" i="3"/>
  <c r="EO25" i="3" s="1"/>
  <c r="EV25" i="3"/>
  <c r="EP25" i="3" s="1"/>
  <c r="CR24" i="3"/>
  <c r="EQ22" i="3"/>
  <c r="M22" i="3" s="1"/>
  <c r="CS22" i="3" s="1"/>
  <c r="EU23" i="3"/>
  <c r="EO23" i="3" s="1"/>
  <c r="EV23" i="3"/>
  <c r="EP23" i="3" s="1"/>
  <c r="CR23" i="3"/>
  <c r="FS101" i="3"/>
  <c r="FR101" i="3"/>
  <c r="FK101" i="3" s="1"/>
  <c r="FX100" i="3"/>
  <c r="FR100" i="3" s="1"/>
  <c r="FK100" i="3" s="1"/>
  <c r="EE10" i="3"/>
  <c r="EC12" i="3"/>
  <c r="ER12" i="3"/>
  <c r="EL12" i="3" s="1"/>
  <c r="EC14" i="3"/>
  <c r="ER14" i="3"/>
  <c r="EL14" i="3" s="1"/>
  <c r="CP100" i="3"/>
  <c r="DO12" i="3"/>
  <c r="ES12" i="3" s="1"/>
  <c r="EM12" i="3" s="1"/>
  <c r="DO15" i="3"/>
  <c r="ES15" i="3" s="1"/>
  <c r="EM15" i="3" s="1"/>
  <c r="DO21" i="3"/>
  <c r="ES21" i="3" s="1"/>
  <c r="EM21" i="3" s="1"/>
  <c r="DO30" i="3"/>
  <c r="DO18" i="3"/>
  <c r="ES18" i="3" s="1"/>
  <c r="EM18" i="3" s="1"/>
  <c r="DO14" i="3"/>
  <c r="ES14" i="3" s="1"/>
  <c r="EM14" i="3" s="1"/>
  <c r="DO11" i="3"/>
  <c r="ES11" i="3" s="1"/>
  <c r="EM11" i="3" s="1"/>
  <c r="EX20" i="3"/>
  <c r="ES20" i="3" s="1"/>
  <c r="EM20" i="3" s="1"/>
  <c r="DO13" i="3"/>
  <c r="ES13" i="3" s="1"/>
  <c r="EM13" i="3" s="1"/>
  <c r="DO16" i="3"/>
  <c r="DO9" i="3"/>
  <c r="ES9" i="3" s="1"/>
  <c r="DO8" i="3"/>
  <c r="DO19" i="3"/>
  <c r="ES19" i="3" s="1"/>
  <c r="EM19" i="3" s="1"/>
  <c r="DO17" i="3"/>
  <c r="ES17" i="3" s="1"/>
  <c r="EM17" i="3" s="1"/>
  <c r="DZ80" i="3"/>
  <c r="DT80" i="3" s="1"/>
  <c r="EC79" i="3"/>
  <c r="DW79" i="3" s="1"/>
  <c r="EH79" i="3"/>
  <c r="EB79" i="3" s="1"/>
  <c r="DV79" i="3" s="1"/>
  <c r="EW20" i="3"/>
  <c r="ER20" i="3" s="1"/>
  <c r="EL20" i="3" s="1"/>
  <c r="EZ30" i="3"/>
  <c r="EU30" i="3" s="1"/>
  <c r="EO30" i="3" s="1"/>
  <c r="EO41" i="3"/>
  <c r="EW30" i="3"/>
  <c r="ER30" i="3" s="1"/>
  <c r="EL30" i="3" s="1"/>
  <c r="EU21" i="3"/>
  <c r="EO21" i="3" s="1"/>
  <c r="ER13" i="3"/>
  <c r="CR15" i="3"/>
  <c r="CR17" i="3"/>
  <c r="ER9" i="3"/>
  <c r="EH73" i="3"/>
  <c r="EB73" i="3" s="1"/>
  <c r="DV73" i="3" s="1"/>
  <c r="EI73" i="3"/>
  <c r="EC73" i="3" s="1"/>
  <c r="DW73" i="3" s="1"/>
  <c r="EI76" i="3"/>
  <c r="EI126" i="3" s="1"/>
  <c r="EH76" i="3"/>
  <c r="EH126" i="3" s="1"/>
  <c r="EL41" i="3"/>
  <c r="ER31" i="3"/>
  <c r="EL31" i="3" s="1"/>
  <c r="EZ20" i="3"/>
  <c r="EU20" i="3" s="1"/>
  <c r="EO20" i="3" s="1"/>
  <c r="EO40" i="3"/>
  <c r="ER11" i="3"/>
  <c r="EL11" i="3" s="1"/>
  <c r="ER19" i="3"/>
  <c r="EL19" i="3" s="1"/>
  <c r="ER15" i="3"/>
  <c r="ER17" i="3"/>
  <c r="EL17" i="3" s="1"/>
  <c r="EZ16" i="3"/>
  <c r="CR16" i="3"/>
  <c r="FA16" i="3"/>
  <c r="EV16" i="3" s="1"/>
  <c r="EP16" i="3" s="1"/>
  <c r="EZ14" i="3"/>
  <c r="FA14" i="3"/>
  <c r="EV14" i="3" s="1"/>
  <c r="EP14" i="3" s="1"/>
  <c r="EZ18" i="3"/>
  <c r="CR18" i="3"/>
  <c r="FA18" i="3"/>
  <c r="EV18" i="3" s="1"/>
  <c r="EP18" i="3" s="1"/>
  <c r="EZ12" i="3"/>
  <c r="FA12" i="3"/>
  <c r="EV12" i="3" s="1"/>
  <c r="EP12" i="3" s="1"/>
  <c r="CQ101" i="3"/>
  <c r="CP101" i="3"/>
  <c r="EO8" i="3"/>
  <c r="EE30" i="3"/>
  <c r="EC8" i="3"/>
  <c r="EC30" i="3"/>
  <c r="CR41" i="3"/>
  <c r="EE40" i="3"/>
  <c r="EC20" i="3"/>
  <c r="CN20" i="3" s="1"/>
  <c r="EC40" i="3"/>
  <c r="CR21" i="3"/>
  <c r="DC96" i="3"/>
  <c r="EE8" i="3"/>
  <c r="CR8" i="3"/>
  <c r="DJ89" i="15" l="1"/>
  <c r="DJ90" i="15" s="1"/>
  <c r="BJ15" i="15"/>
  <c r="BK90" i="14"/>
  <c r="BJ90" i="14"/>
  <c r="BD90" i="14"/>
  <c r="BT89" i="14"/>
  <c r="BD74" i="14"/>
  <c r="BK74" i="14"/>
  <c r="BJ74" i="14"/>
  <c r="BT73" i="14"/>
  <c r="BS74" i="14" s="1"/>
  <c r="BQ89" i="15"/>
  <c r="BR90" i="15" s="1"/>
  <c r="BH89" i="15"/>
  <c r="BH91" i="15" s="1"/>
  <c r="AY89" i="15"/>
  <c r="BG89" i="15"/>
  <c r="BG91" i="15" s="1"/>
  <c r="AY58" i="14"/>
  <c r="BG58" i="14"/>
  <c r="BH58" i="14"/>
  <c r="BQ39" i="15"/>
  <c r="BK65" i="14"/>
  <c r="BK67" i="14" s="1"/>
  <c r="BD65" i="14"/>
  <c r="BJ65" i="14"/>
  <c r="BJ67" i="14" s="1"/>
  <c r="BE67" i="14" s="1"/>
  <c r="BN69" i="14" s="1"/>
  <c r="BN70" i="14" s="1"/>
  <c r="BS65" i="14"/>
  <c r="BT66" i="14" s="1"/>
  <c r="BD90" i="15"/>
  <c r="BT89" i="15"/>
  <c r="BS90" i="15" s="1"/>
  <c r="BJ90" i="15"/>
  <c r="BK90" i="15"/>
  <c r="BQ27" i="14"/>
  <c r="AY65" i="14"/>
  <c r="BG65" i="14"/>
  <c r="BG67" i="14" s="1"/>
  <c r="BC67" i="14" s="1"/>
  <c r="BM69" i="14" s="1"/>
  <c r="BH65" i="14"/>
  <c r="BH67" i="14" s="1"/>
  <c r="BQ65" i="14"/>
  <c r="BR66" i="14" s="1"/>
  <c r="BQ89" i="14"/>
  <c r="AY89" i="14"/>
  <c r="BH89" i="14"/>
  <c r="BH91" i="14" s="1"/>
  <c r="BG89" i="14"/>
  <c r="BG91" i="14" s="1"/>
  <c r="BC91" i="14" s="1"/>
  <c r="BM93" i="14" s="1"/>
  <c r="BD89" i="14"/>
  <c r="BE89" i="14" s="1"/>
  <c r="BS89" i="14"/>
  <c r="BK89" i="14"/>
  <c r="BK91" i="14" s="1"/>
  <c r="BJ89" i="14"/>
  <c r="BJ91" i="14" s="1"/>
  <c r="BE91" i="14" s="1"/>
  <c r="BN93" i="14" s="1"/>
  <c r="BN94" i="14" s="1"/>
  <c r="BJ73" i="14"/>
  <c r="BJ75" i="14" s="1"/>
  <c r="BE75" i="14" s="1"/>
  <c r="BN77" i="14" s="1"/>
  <c r="BN78" i="14" s="1"/>
  <c r="BD73" i="14"/>
  <c r="BE73" i="14" s="1"/>
  <c r="BK73" i="14"/>
  <c r="BK75" i="14" s="1"/>
  <c r="BQ22" i="15"/>
  <c r="BH90" i="15"/>
  <c r="BR89" i="15"/>
  <c r="BQ90" i="15" s="1"/>
  <c r="BQ91" i="15" s="1"/>
  <c r="AY90" i="15"/>
  <c r="BB90" i="15" s="1"/>
  <c r="BG90" i="15"/>
  <c r="BG57" i="14"/>
  <c r="BG59" i="14" s="1"/>
  <c r="BC59" i="14" s="1"/>
  <c r="BV58" i="14" s="1"/>
  <c r="BH57" i="14"/>
  <c r="BH59" i="14" s="1"/>
  <c r="AY57" i="14"/>
  <c r="BB57" i="14" s="1"/>
  <c r="BQ34" i="14"/>
  <c r="BD66" i="14"/>
  <c r="BE66" i="14" s="1"/>
  <c r="BJ66" i="14"/>
  <c r="BK66" i="14"/>
  <c r="BT65" i="14"/>
  <c r="BS66" i="14" s="1"/>
  <c r="BS67" i="14" s="1"/>
  <c r="BS89" i="15"/>
  <c r="BT90" i="15" s="1"/>
  <c r="BT91" i="15" s="1"/>
  <c r="BJ89" i="15"/>
  <c r="BJ91" i="15" s="1"/>
  <c r="BK89" i="15"/>
  <c r="BK91" i="15" s="1"/>
  <c r="BD89" i="15"/>
  <c r="BE89" i="15" s="1"/>
  <c r="BS73" i="15"/>
  <c r="BD73" i="15"/>
  <c r="BK73" i="15"/>
  <c r="BK75" i="15" s="1"/>
  <c r="BJ73" i="15"/>
  <c r="BJ75" i="15" s="1"/>
  <c r="BE75" i="15" s="1"/>
  <c r="BN77" i="15" s="1"/>
  <c r="BN78" i="15" s="1"/>
  <c r="BJ82" i="14"/>
  <c r="BD82" i="14"/>
  <c r="BT81" i="14"/>
  <c r="BS82" i="14" s="1"/>
  <c r="BK82" i="14"/>
  <c r="BG73" i="15"/>
  <c r="BG75" i="15" s="1"/>
  <c r="BC75" i="15" s="1"/>
  <c r="BM77" i="15" s="1"/>
  <c r="BQ73" i="15"/>
  <c r="BH73" i="15"/>
  <c r="BH75" i="15" s="1"/>
  <c r="AY73" i="15"/>
  <c r="BQ22" i="14"/>
  <c r="BT75" i="14"/>
  <c r="BK58" i="15"/>
  <c r="BD58" i="15"/>
  <c r="BJ58" i="15"/>
  <c r="BG57" i="15"/>
  <c r="BG59" i="15" s="1"/>
  <c r="BH57" i="15"/>
  <c r="BH59" i="15" s="1"/>
  <c r="AY57" i="15"/>
  <c r="BH82" i="14"/>
  <c r="BG82" i="14"/>
  <c r="BR81" i="14"/>
  <c r="BQ82" i="14" s="1"/>
  <c r="AY82" i="14"/>
  <c r="AY73" i="14"/>
  <c r="BH73" i="14"/>
  <c r="BH75" i="14" s="1"/>
  <c r="BG73" i="14"/>
  <c r="BG75" i="14" s="1"/>
  <c r="BC75" i="14" s="1"/>
  <c r="BM77" i="14" s="1"/>
  <c r="BK58" i="14"/>
  <c r="BD58" i="14"/>
  <c r="BJ58" i="14"/>
  <c r="BH66" i="15"/>
  <c r="BG66" i="15"/>
  <c r="AY66" i="15"/>
  <c r="BR65" i="15"/>
  <c r="BQ66" i="15" s="1"/>
  <c r="BQ33" i="14"/>
  <c r="BK65" i="15"/>
  <c r="BK67" i="15" s="1"/>
  <c r="BJ65" i="15"/>
  <c r="BJ67" i="15" s="1"/>
  <c r="BS65" i="15"/>
  <c r="BD65" i="15"/>
  <c r="BD82" i="15"/>
  <c r="BT81" i="15"/>
  <c r="BS82" i="15" s="1"/>
  <c r="BJ82" i="15"/>
  <c r="BK82" i="15"/>
  <c r="BR81" i="15"/>
  <c r="BQ82" i="15" s="1"/>
  <c r="BH82" i="15"/>
  <c r="BG82" i="15"/>
  <c r="AY82" i="15"/>
  <c r="BJ74" i="15"/>
  <c r="BT73" i="15"/>
  <c r="BK74" i="15"/>
  <c r="BD74" i="15"/>
  <c r="BE74" i="15" s="1"/>
  <c r="BD81" i="14"/>
  <c r="BE81" i="14" s="1"/>
  <c r="BK81" i="14"/>
  <c r="BK83" i="14" s="1"/>
  <c r="BS81" i="14"/>
  <c r="BT82" i="14" s="1"/>
  <c r="BT83" i="14" s="1"/>
  <c r="BJ81" i="14"/>
  <c r="BJ83" i="14" s="1"/>
  <c r="BE83" i="14" s="1"/>
  <c r="BN85" i="14" s="1"/>
  <c r="BN86" i="14" s="1"/>
  <c r="BR73" i="15"/>
  <c r="AY74" i="15"/>
  <c r="BB74" i="15" s="1"/>
  <c r="BH74" i="15"/>
  <c r="BG74" i="15"/>
  <c r="BQ21" i="14"/>
  <c r="BD57" i="15"/>
  <c r="BE57" i="15" s="1"/>
  <c r="BK57" i="15"/>
  <c r="BK59" i="15" s="1"/>
  <c r="BJ57" i="15"/>
  <c r="BJ59" i="15" s="1"/>
  <c r="BH58" i="15"/>
  <c r="AY58" i="15"/>
  <c r="BB58" i="15" s="1"/>
  <c r="BG58" i="15"/>
  <c r="BQ81" i="14"/>
  <c r="BR82" i="14" s="1"/>
  <c r="BR83" i="14" s="1"/>
  <c r="BG81" i="14"/>
  <c r="BG83" i="14" s="1"/>
  <c r="BH81" i="14"/>
  <c r="BH83" i="14" s="1"/>
  <c r="AY81" i="14"/>
  <c r="BB81" i="14" s="1"/>
  <c r="BQ21" i="15"/>
  <c r="AY74" i="14"/>
  <c r="BB74" i="14" s="1"/>
  <c r="BG74" i="14"/>
  <c r="BH74" i="14"/>
  <c r="BJ57" i="14"/>
  <c r="BJ59" i="14" s="1"/>
  <c r="BE59" i="14" s="1"/>
  <c r="BD57" i="14"/>
  <c r="BE57" i="14" s="1"/>
  <c r="BK57" i="14"/>
  <c r="BK59" i="14" s="1"/>
  <c r="AY65" i="15"/>
  <c r="BB65" i="15" s="1"/>
  <c r="BQ65" i="15"/>
  <c r="BH65" i="15"/>
  <c r="BH67" i="15" s="1"/>
  <c r="BG65" i="15"/>
  <c r="BG67" i="15" s="1"/>
  <c r="BC67" i="15" s="1"/>
  <c r="BM69" i="15" s="1"/>
  <c r="BT65" i="15"/>
  <c r="BS66" i="15" s="1"/>
  <c r="BD66" i="15"/>
  <c r="BE66" i="15" s="1"/>
  <c r="BK66" i="15"/>
  <c r="BJ66" i="15"/>
  <c r="BK81" i="15"/>
  <c r="BK83" i="15" s="1"/>
  <c r="BS81" i="15"/>
  <c r="BJ81" i="15"/>
  <c r="BJ83" i="15" s="1"/>
  <c r="BD81" i="15"/>
  <c r="BE81" i="15" s="1"/>
  <c r="BQ81" i="15"/>
  <c r="BR82" i="15" s="1"/>
  <c r="BR83" i="15" s="1"/>
  <c r="BG81" i="15"/>
  <c r="BG83" i="15" s="1"/>
  <c r="BC83" i="15" s="1"/>
  <c r="BM85" i="15" s="1"/>
  <c r="AY81" i="15"/>
  <c r="BB81" i="15" s="1"/>
  <c r="BH81" i="15"/>
  <c r="BH83" i="15" s="1"/>
  <c r="BQ28" i="14"/>
  <c r="BH66" i="14"/>
  <c r="BG66" i="14"/>
  <c r="AY66" i="14"/>
  <c r="BB66" i="14" s="1"/>
  <c r="BR65" i="14"/>
  <c r="AY90" i="14"/>
  <c r="BB90" i="14" s="1"/>
  <c r="BH90" i="14"/>
  <c r="BR89" i="14"/>
  <c r="BG90" i="14"/>
  <c r="BR73" i="14"/>
  <c r="BG15" i="14"/>
  <c r="AZ15" i="14" s="1"/>
  <c r="BM16" i="14"/>
  <c r="BJ19" i="14" s="1"/>
  <c r="BQ75" i="14"/>
  <c r="DB96" i="3"/>
  <c r="EE76" i="3"/>
  <c r="ES8" i="3"/>
  <c r="EM8" i="3" s="1"/>
  <c r="E48" i="18"/>
  <c r="EX30" i="3"/>
  <c r="ES30" i="3" s="1"/>
  <c r="EM30" i="3" s="1"/>
  <c r="K48" i="18"/>
  <c r="EI64" i="3"/>
  <c r="DF64" i="3"/>
  <c r="EJ64" i="3"/>
  <c r="DG64" i="3"/>
  <c r="CS64" i="3"/>
  <c r="AG64" i="3"/>
  <c r="EJ55" i="3"/>
  <c r="CS55" i="3"/>
  <c r="Y55" i="3" s="1"/>
  <c r="DG55" i="3"/>
  <c r="EI55" i="3"/>
  <c r="AA55" i="3" s="1"/>
  <c r="DF55" i="3"/>
  <c r="EX36" i="3"/>
  <c r="ES36" i="3" s="1"/>
  <c r="EM36" i="3" s="1"/>
  <c r="EQ36" i="3" s="1"/>
  <c r="M36" i="3" s="1"/>
  <c r="CS36" i="3" s="1"/>
  <c r="N48" i="18"/>
  <c r="ES16" i="3"/>
  <c r="EM16" i="3" s="1"/>
  <c r="I48" i="18"/>
  <c r="ED65" i="3"/>
  <c r="EE65" i="3" s="1"/>
  <c r="EB65" i="3"/>
  <c r="EC65" i="3" s="1"/>
  <c r="CZ65" i="3"/>
  <c r="AC65" i="3" s="1"/>
  <c r="DC65" i="3"/>
  <c r="AF65" i="3" s="1"/>
  <c r="BT59" i="14"/>
  <c r="AY434" i="14"/>
  <c r="AT434" i="14" s="1"/>
  <c r="AT433" i="14"/>
  <c r="F3" i="18"/>
  <c r="E363" i="18"/>
  <c r="E18" i="18"/>
  <c r="E17" i="18"/>
  <c r="E19" i="18" s="1"/>
  <c r="E23" i="18"/>
  <c r="E25" i="18" s="1"/>
  <c r="EB56" i="3"/>
  <c r="EC56" i="3" s="1"/>
  <c r="ED56" i="3"/>
  <c r="EE56" i="3" s="1"/>
  <c r="DC56" i="3"/>
  <c r="AF56" i="3" s="1"/>
  <c r="CZ56" i="3"/>
  <c r="AC56" i="3" s="1"/>
  <c r="BM78" i="14"/>
  <c r="AM73" i="14"/>
  <c r="BQ33" i="15"/>
  <c r="BQ34" i="15"/>
  <c r="DC46" i="3"/>
  <c r="AF46" i="3" s="1"/>
  <c r="CZ46" i="3"/>
  <c r="AC46" i="3" s="1"/>
  <c r="DA52" i="3"/>
  <c r="AD52" i="3" s="1"/>
  <c r="DD52" i="3"/>
  <c r="AG52" i="3" s="1"/>
  <c r="BL27" i="14"/>
  <c r="BI28" i="14"/>
  <c r="BI27" i="14"/>
  <c r="CA30" i="14"/>
  <c r="CU28" i="14"/>
  <c r="CU30" i="14" s="1"/>
  <c r="CR28" i="14"/>
  <c r="CR30" i="14" s="1"/>
  <c r="CG30" i="14" s="1"/>
  <c r="BJ27" i="14"/>
  <c r="BN27" i="14"/>
  <c r="BM27" i="14"/>
  <c r="BK27" i="14"/>
  <c r="BG77" i="14"/>
  <c r="BV74" i="14"/>
  <c r="BG78" i="14"/>
  <c r="BJ78" i="14"/>
  <c r="BW74" i="14"/>
  <c r="BJ77" i="14"/>
  <c r="CV74" i="14"/>
  <c r="CG16" i="15"/>
  <c r="CG15" i="15"/>
  <c r="BK18" i="15" s="1"/>
  <c r="BK19" i="15" s="1"/>
  <c r="CF16" i="15"/>
  <c r="CF15" i="15"/>
  <c r="BH18" i="15" s="1"/>
  <c r="BH19" i="15" s="1"/>
  <c r="CG16" i="14"/>
  <c r="CF16" i="14"/>
  <c r="CG15" i="14"/>
  <c r="BK18" i="14" s="1"/>
  <c r="BK19" i="14" s="1"/>
  <c r="CF15" i="14"/>
  <c r="BH18" i="14" s="1"/>
  <c r="BH19" i="14" s="1"/>
  <c r="DD47" i="3"/>
  <c r="AG47" i="3" s="1"/>
  <c r="DA47" i="3"/>
  <c r="AD47" i="3" s="1"/>
  <c r="ED50" i="3"/>
  <c r="EE50" i="3" s="1"/>
  <c r="EB50" i="3"/>
  <c r="EC50" i="3" s="1"/>
  <c r="DD53" i="3"/>
  <c r="AG53" i="3" s="1"/>
  <c r="N53" i="3" s="1"/>
  <c r="DA53" i="3"/>
  <c r="AD53" i="3" s="1"/>
  <c r="ED44" i="3"/>
  <c r="EE44" i="3" s="1"/>
  <c r="EB44" i="3"/>
  <c r="EC44" i="3" s="1"/>
  <c r="CG21" i="14"/>
  <c r="BK24" i="14" s="1"/>
  <c r="BK25" i="14" s="1"/>
  <c r="CG22" i="14"/>
  <c r="CF22" i="14"/>
  <c r="CF21" i="14"/>
  <c r="BH24" i="14" s="1"/>
  <c r="BH25" i="14" s="1"/>
  <c r="BL21" i="14"/>
  <c r="BI21" i="14"/>
  <c r="BC21" i="14" s="1"/>
  <c r="AV21" i="14" s="1"/>
  <c r="BI22" i="14"/>
  <c r="CA24" i="14"/>
  <c r="CQ22" i="14"/>
  <c r="CQ24" i="14" s="1"/>
  <c r="CF24" i="14" s="1"/>
  <c r="CT22" i="14"/>
  <c r="CT24" i="14" s="1"/>
  <c r="BV66" i="14"/>
  <c r="BG69" i="14"/>
  <c r="BG70" i="14"/>
  <c r="BJ70" i="14"/>
  <c r="BJ69" i="14"/>
  <c r="BW66" i="14"/>
  <c r="CE91" i="14"/>
  <c r="BG85" i="15"/>
  <c r="BV82" i="15"/>
  <c r="BG86" i="15"/>
  <c r="CT28" i="15"/>
  <c r="CT30" i="15" s="1"/>
  <c r="CQ28" i="15"/>
  <c r="CQ30" i="15" s="1"/>
  <c r="CF30" i="15" s="1"/>
  <c r="BL27" i="15"/>
  <c r="CA30" i="15"/>
  <c r="BI27" i="15"/>
  <c r="BI28" i="15"/>
  <c r="CV28" i="15"/>
  <c r="CV30" i="15" s="1"/>
  <c r="CS28" i="15"/>
  <c r="CS30" i="15" s="1"/>
  <c r="CH30" i="15" s="1"/>
  <c r="CG27" i="15"/>
  <c r="BK30" i="15" s="1"/>
  <c r="BK31" i="15" s="1"/>
  <c r="CG28" i="15"/>
  <c r="CF27" i="15"/>
  <c r="BH30" i="15" s="1"/>
  <c r="BH31" i="15" s="1"/>
  <c r="CF28" i="15"/>
  <c r="DD49" i="3"/>
  <c r="AG49" i="3" s="1"/>
  <c r="DA49" i="3"/>
  <c r="AD49" i="3" s="1"/>
  <c r="DD43" i="3"/>
  <c r="AG43" i="3" s="1"/>
  <c r="DA43" i="3"/>
  <c r="FV45" i="3" s="1"/>
  <c r="CS40" i="14"/>
  <c r="CS42" i="14" s="1"/>
  <c r="CH42" i="14" s="1"/>
  <c r="CV40" i="14"/>
  <c r="CV42" i="14" s="1"/>
  <c r="CG39" i="14"/>
  <c r="BK42" i="14" s="1"/>
  <c r="BK43" i="14" s="1"/>
  <c r="CF40" i="14"/>
  <c r="CF39" i="14"/>
  <c r="BH42" i="14" s="1"/>
  <c r="BH43" i="14" s="1"/>
  <c r="CG40" i="14"/>
  <c r="BI40" i="14"/>
  <c r="BL39" i="14"/>
  <c r="BI39" i="14"/>
  <c r="CA42" i="14"/>
  <c r="CS22" i="15"/>
  <c r="CS24" i="15" s="1"/>
  <c r="CH24" i="15" s="1"/>
  <c r="CV22" i="15"/>
  <c r="CV24" i="15" s="1"/>
  <c r="CG21" i="15"/>
  <c r="BK24" i="15" s="1"/>
  <c r="BK25" i="15" s="1"/>
  <c r="CG22" i="15"/>
  <c r="CF22" i="15"/>
  <c r="CF21" i="15"/>
  <c r="BH24" i="15" s="1"/>
  <c r="BH25" i="15" s="1"/>
  <c r="DJ73" i="15"/>
  <c r="DJ74" i="15" s="1"/>
  <c r="DG73" i="15"/>
  <c r="BJ77" i="15"/>
  <c r="BJ78" i="15"/>
  <c r="BW73" i="15"/>
  <c r="BW74" i="15"/>
  <c r="BG77" i="15"/>
  <c r="BV74" i="15"/>
  <c r="BG78" i="15"/>
  <c r="BV73" i="15"/>
  <c r="BL33" i="14"/>
  <c r="CA36" i="14"/>
  <c r="BI34" i="14"/>
  <c r="BI33" i="14"/>
  <c r="CE67" i="15"/>
  <c r="BV66" i="15"/>
  <c r="BG69" i="15"/>
  <c r="BG70" i="15"/>
  <c r="CS40" i="15"/>
  <c r="CS42" i="15" s="1"/>
  <c r="CH42" i="15" s="1"/>
  <c r="CV40" i="15"/>
  <c r="CV42" i="15" s="1"/>
  <c r="CG40" i="15"/>
  <c r="CG39" i="15"/>
  <c r="BK42" i="15" s="1"/>
  <c r="BK43" i="15" s="1"/>
  <c r="CF40" i="15"/>
  <c r="CF39" i="15"/>
  <c r="BH42" i="15" s="1"/>
  <c r="BH43" i="15" s="1"/>
  <c r="BN33" i="15"/>
  <c r="BK33" i="15"/>
  <c r="BJ33" i="15"/>
  <c r="BM33" i="15"/>
  <c r="CG34" i="15"/>
  <c r="CF33" i="15"/>
  <c r="CF34" i="15"/>
  <c r="CV34" i="15"/>
  <c r="CV36" i="15" s="1"/>
  <c r="CS34" i="15"/>
  <c r="CS36" i="15" s="1"/>
  <c r="CH36" i="15" s="1"/>
  <c r="CG33" i="15"/>
  <c r="DA46" i="3"/>
  <c r="AD46" i="3" s="1"/>
  <c r="DD46" i="3"/>
  <c r="AG46" i="3" s="1"/>
  <c r="N46" i="3" s="1"/>
  <c r="DC52" i="3"/>
  <c r="AF52" i="3" s="1"/>
  <c r="CZ52" i="3"/>
  <c r="AC52" i="3" s="1"/>
  <c r="CS28" i="14"/>
  <c r="CS30" i="14" s="1"/>
  <c r="CH30" i="14" s="1"/>
  <c r="CV28" i="14"/>
  <c r="CV30" i="14" s="1"/>
  <c r="CG28" i="14"/>
  <c r="CG27" i="14"/>
  <c r="BK30" i="14" s="1"/>
  <c r="BK31" i="14" s="1"/>
  <c r="CF27" i="14"/>
  <c r="BH30" i="14" s="1"/>
  <c r="BH31" i="14" s="1"/>
  <c r="CF28" i="14"/>
  <c r="BJ85" i="14"/>
  <c r="BW82" i="14"/>
  <c r="BJ86" i="14"/>
  <c r="CE83" i="14"/>
  <c r="CE75" i="14"/>
  <c r="BL15" i="15"/>
  <c r="BI15" i="15"/>
  <c r="BC15" i="15" s="1"/>
  <c r="AV15" i="15" s="1"/>
  <c r="BI16" i="15"/>
  <c r="CE91" i="15"/>
  <c r="BL15" i="14"/>
  <c r="BI16" i="14"/>
  <c r="BI15" i="14"/>
  <c r="BC15" i="14" s="1"/>
  <c r="AV15" i="14" s="1"/>
  <c r="ED47" i="3"/>
  <c r="EE47" i="3" s="1"/>
  <c r="EB47" i="3"/>
  <c r="EC47" i="3" s="1"/>
  <c r="DA50" i="3"/>
  <c r="AD50" i="3" s="1"/>
  <c r="DD50" i="3"/>
  <c r="AG50" i="3" s="1"/>
  <c r="N50" i="3" s="1"/>
  <c r="EB53" i="3"/>
  <c r="EC53" i="3" s="1"/>
  <c r="ED53" i="3"/>
  <c r="EE53" i="3" s="1"/>
  <c r="DA44" i="3"/>
  <c r="AD44" i="3" s="1"/>
  <c r="DD44" i="3"/>
  <c r="AG44" i="3" s="1"/>
  <c r="N44" i="3" s="1"/>
  <c r="BN21" i="14"/>
  <c r="BJ21" i="14"/>
  <c r="BK21" i="14"/>
  <c r="BM21" i="14"/>
  <c r="CR22" i="14"/>
  <c r="CR24" i="14" s="1"/>
  <c r="CG24" i="14" s="1"/>
  <c r="CU22" i="14"/>
  <c r="CU24" i="14" s="1"/>
  <c r="CE67" i="14"/>
  <c r="DJ89" i="14"/>
  <c r="DJ90" i="14" s="1"/>
  <c r="DG89" i="14"/>
  <c r="BW90" i="14"/>
  <c r="BJ93" i="14"/>
  <c r="BJ94" i="14"/>
  <c r="BW89" i="14"/>
  <c r="BV89" i="14"/>
  <c r="BV90" i="14"/>
  <c r="BG93" i="14"/>
  <c r="BG94" i="14"/>
  <c r="CE83" i="15"/>
  <c r="CR28" i="15"/>
  <c r="CR30" i="15" s="1"/>
  <c r="CG30" i="15" s="1"/>
  <c r="CU28" i="15"/>
  <c r="CU30" i="15" s="1"/>
  <c r="BM27" i="15"/>
  <c r="BN27" i="15"/>
  <c r="BK27" i="15"/>
  <c r="BJ27" i="15"/>
  <c r="DC49" i="3"/>
  <c r="AF49" i="3" s="1"/>
  <c r="CZ49" i="3"/>
  <c r="AC49" i="3" s="1"/>
  <c r="CZ43" i="3"/>
  <c r="DC43" i="3"/>
  <c r="AF43" i="3" s="1"/>
  <c r="BJ39" i="14"/>
  <c r="BM39" i="14"/>
  <c r="BK39" i="14"/>
  <c r="BN39" i="14"/>
  <c r="CU22" i="15"/>
  <c r="CU24" i="15" s="1"/>
  <c r="CR22" i="15"/>
  <c r="CR24" i="15" s="1"/>
  <c r="CG24" i="15" s="1"/>
  <c r="BM21" i="15"/>
  <c r="BJ21" i="15"/>
  <c r="BN21" i="15"/>
  <c r="BK21" i="15"/>
  <c r="CQ22" i="15"/>
  <c r="CQ24" i="15" s="1"/>
  <c r="CF24" i="15" s="1"/>
  <c r="CT22" i="15"/>
  <c r="CT24" i="15" s="1"/>
  <c r="BL21" i="15"/>
  <c r="BI22" i="15"/>
  <c r="BI21" i="15"/>
  <c r="CA24" i="15"/>
  <c r="CE75" i="15"/>
  <c r="BN33" i="14"/>
  <c r="BK33" i="14"/>
  <c r="BM33" i="14"/>
  <c r="BJ33" i="14"/>
  <c r="CG34" i="14"/>
  <c r="CF34" i="14"/>
  <c r="CG33" i="14"/>
  <c r="BK36" i="14" s="1"/>
  <c r="BK37" i="14" s="1"/>
  <c r="CF33" i="14"/>
  <c r="BH36" i="14" s="1"/>
  <c r="BH37" i="14" s="1"/>
  <c r="CS34" i="14"/>
  <c r="CS36" i="14" s="1"/>
  <c r="CH36" i="14" s="1"/>
  <c r="CV34" i="14"/>
  <c r="CV36" i="14" s="1"/>
  <c r="CQ40" i="15"/>
  <c r="CQ42" i="15" s="1"/>
  <c r="CF42" i="15" s="1"/>
  <c r="CT40" i="15"/>
  <c r="CT42" i="15" s="1"/>
  <c r="BI40" i="15"/>
  <c r="BI39" i="15"/>
  <c r="BL39" i="15"/>
  <c r="CA42" i="15"/>
  <c r="CU40" i="15"/>
  <c r="CU42" i="15" s="1"/>
  <c r="CR40" i="15"/>
  <c r="CR42" i="15" s="1"/>
  <c r="CG42" i="15" s="1"/>
  <c r="BM39" i="15"/>
  <c r="BJ39" i="15"/>
  <c r="BN39" i="15"/>
  <c r="BK39" i="15"/>
  <c r="BI33" i="15"/>
  <c r="CA36" i="15"/>
  <c r="BI34" i="15"/>
  <c r="BL33" i="15"/>
  <c r="BQ59" i="15"/>
  <c r="BK15" i="15"/>
  <c r="BM15" i="15"/>
  <c r="BM16" i="15" s="1"/>
  <c r="BJ19" i="15" s="1"/>
  <c r="BJ13" i="15"/>
  <c r="BQ15" i="15"/>
  <c r="CA19" i="15"/>
  <c r="CC19" i="15"/>
  <c r="CU16" i="15" s="1"/>
  <c r="CU18" i="15" s="1"/>
  <c r="BN13" i="15"/>
  <c r="BN15" i="15"/>
  <c r="BS59" i="14"/>
  <c r="CV58" i="14" s="1"/>
  <c r="BN16" i="14"/>
  <c r="BH15" i="14"/>
  <c r="BA15" i="14" s="1"/>
  <c r="BK16" i="14"/>
  <c r="BE15" i="14"/>
  <c r="AX15" i="14" s="1"/>
  <c r="BQ15" i="14"/>
  <c r="CC19" i="14"/>
  <c r="CA19" i="14"/>
  <c r="BR59" i="15"/>
  <c r="BS59" i="15"/>
  <c r="BT58" i="15"/>
  <c r="BT59" i="15" s="1"/>
  <c r="BQ16" i="15"/>
  <c r="BK16" i="15"/>
  <c r="BE15" i="15"/>
  <c r="AX15" i="15" s="1"/>
  <c r="BD15" i="15"/>
  <c r="AW15" i="15" s="1"/>
  <c r="BJ16" i="15"/>
  <c r="BG19" i="15" s="1"/>
  <c r="BR59" i="14"/>
  <c r="BQ58" i="14"/>
  <c r="BQ59" i="14" s="1"/>
  <c r="J97" i="18" s="1"/>
  <c r="J99" i="18" s="1"/>
  <c r="BQ16" i="14"/>
  <c r="CE60" i="15"/>
  <c r="CE61" i="15"/>
  <c r="DF57" i="15" s="1"/>
  <c r="CE61" i="14"/>
  <c r="DF57" i="14" s="1"/>
  <c r="CE60" i="14"/>
  <c r="DX78" i="3"/>
  <c r="L78" i="3" s="1"/>
  <c r="DD78" i="3" s="1"/>
  <c r="DX75" i="3"/>
  <c r="L75" i="3" s="1"/>
  <c r="DD75" i="3" s="1"/>
  <c r="EF83" i="3"/>
  <c r="DZ83" i="3" s="1"/>
  <c r="DT83" i="3" s="1"/>
  <c r="EF81" i="3"/>
  <c r="DZ81" i="3" s="1"/>
  <c r="DT81" i="3" s="1"/>
  <c r="FP125" i="3"/>
  <c r="R125" i="3" s="1"/>
  <c r="DK125" i="3" s="1"/>
  <c r="ES125" i="3" s="1"/>
  <c r="FP124" i="3"/>
  <c r="R124" i="3" s="1"/>
  <c r="CT124" i="3" s="1"/>
  <c r="X124" i="3" s="1"/>
  <c r="Y124" i="3" s="1"/>
  <c r="CS125" i="3"/>
  <c r="R90" i="3"/>
  <c r="EF85" i="3"/>
  <c r="DZ85" i="3" s="1"/>
  <c r="DT85" i="3" s="1"/>
  <c r="DX85" i="3" s="1"/>
  <c r="EJ86" i="3" s="1"/>
  <c r="DC75" i="3"/>
  <c r="DG92" i="15"/>
  <c r="DG93" i="15" s="1"/>
  <c r="DG90" i="15"/>
  <c r="DJ92" i="15"/>
  <c r="DJ93" i="15" s="1"/>
  <c r="T65" i="14"/>
  <c r="DJ65" i="14" s="1"/>
  <c r="DJ66" i="14" s="1"/>
  <c r="DF34" i="3"/>
  <c r="CZ34" i="3" s="1"/>
  <c r="AC34" i="3" s="1"/>
  <c r="CS34" i="3"/>
  <c r="EF79" i="3"/>
  <c r="DZ79" i="3" s="1"/>
  <c r="DT79" i="3" s="1"/>
  <c r="EQ30" i="3"/>
  <c r="M30" i="3" s="1"/>
  <c r="EI30" i="3" s="1"/>
  <c r="CN30" i="3"/>
  <c r="CN10" i="3"/>
  <c r="AN10" i="3" s="1"/>
  <c r="AO10" i="3" s="1"/>
  <c r="CZ91" i="3"/>
  <c r="DB91" i="3"/>
  <c r="CZ92" i="3"/>
  <c r="DB92" i="3"/>
  <c r="CR113" i="3"/>
  <c r="ED32" i="3"/>
  <c r="EE32" i="3" s="1"/>
  <c r="CN32" i="3" s="1"/>
  <c r="FA32" i="3"/>
  <c r="EV32" i="3" s="1"/>
  <c r="EP32" i="3" s="1"/>
  <c r="CP32" i="3"/>
  <c r="EW32" i="3"/>
  <c r="ER32" i="3" s="1"/>
  <c r="EL32" i="3" s="1"/>
  <c r="CQ32" i="3"/>
  <c r="EZ32" i="3"/>
  <c r="EU32" i="3" s="1"/>
  <c r="EO32" i="3" s="1"/>
  <c r="CN8" i="3"/>
  <c r="AN8" i="3" s="1"/>
  <c r="AO8" i="3" s="1"/>
  <c r="DK104" i="3"/>
  <c r="DL104" i="3"/>
  <c r="DF104" i="3" s="1"/>
  <c r="AB104" i="3" s="1"/>
  <c r="DK110" i="3"/>
  <c r="DE110" i="3" s="1"/>
  <c r="AA110" i="3" s="1"/>
  <c r="T110" i="3" s="1"/>
  <c r="DL110" i="3"/>
  <c r="DI110" i="3" s="1"/>
  <c r="AE110" i="3" s="1"/>
  <c r="DK117" i="3"/>
  <c r="DL117" i="3"/>
  <c r="EU117" i="3" s="1"/>
  <c r="FI117" i="3" s="1"/>
  <c r="DK123" i="3"/>
  <c r="DL123" i="3"/>
  <c r="DK122" i="3"/>
  <c r="DL122" i="3"/>
  <c r="DK111" i="3"/>
  <c r="DL111" i="3"/>
  <c r="DI111" i="3" s="1"/>
  <c r="AE111" i="3" s="1"/>
  <c r="CT340" i="3"/>
  <c r="CT386" i="3"/>
  <c r="CT387" i="3" s="1"/>
  <c r="CR340" i="3"/>
  <c r="CR386" i="3"/>
  <c r="CR387" i="3" s="1"/>
  <c r="CR341" i="3"/>
  <c r="CR435" i="3" s="1"/>
  <c r="CR436" i="3" s="1"/>
  <c r="CS343" i="3"/>
  <c r="CS340" i="3"/>
  <c r="CT341" i="3"/>
  <c r="CT435" i="3" s="1"/>
  <c r="CT436" i="3" s="1"/>
  <c r="CU343" i="3"/>
  <c r="CU340" i="3"/>
  <c r="EG108" i="3"/>
  <c r="EF108" i="3"/>
  <c r="EG114" i="3"/>
  <c r="EF114" i="3"/>
  <c r="AR347" i="14"/>
  <c r="AW348" i="14"/>
  <c r="AR348" i="14" s="1"/>
  <c r="AW343" i="15"/>
  <c r="AR343" i="15" s="1"/>
  <c r="AR342" i="15"/>
  <c r="AW435" i="15"/>
  <c r="AR435" i="15" s="1"/>
  <c r="AR434" i="15"/>
  <c r="AZ346" i="15"/>
  <c r="AY344" i="15"/>
  <c r="AZ343" i="15"/>
  <c r="AY435" i="15"/>
  <c r="AT435" i="15" s="1"/>
  <c r="AT434" i="15"/>
  <c r="AW391" i="15"/>
  <c r="AX390" i="15"/>
  <c r="AX393" i="15"/>
  <c r="AR389" i="15"/>
  <c r="AW390" i="15"/>
  <c r="AR390" i="15" s="1"/>
  <c r="AX346" i="15"/>
  <c r="AW344" i="15"/>
  <c r="AX343" i="15"/>
  <c r="AW436" i="15"/>
  <c r="AX438" i="15"/>
  <c r="AX435" i="15"/>
  <c r="AY391" i="15"/>
  <c r="AZ390" i="15"/>
  <c r="AZ393" i="15"/>
  <c r="AT389" i="15"/>
  <c r="AY390" i="15"/>
  <c r="AT390" i="15" s="1"/>
  <c r="AY343" i="15"/>
  <c r="AT343" i="15" s="1"/>
  <c r="AT342" i="15"/>
  <c r="AY436" i="15"/>
  <c r="AZ438" i="15"/>
  <c r="AZ435" i="15"/>
  <c r="AY435" i="14"/>
  <c r="AZ437" i="14"/>
  <c r="AZ434" i="14"/>
  <c r="AW434" i="14"/>
  <c r="AR434" i="14" s="1"/>
  <c r="AR433" i="14"/>
  <c r="AW435" i="14"/>
  <c r="AX437" i="14"/>
  <c r="AX434" i="14"/>
  <c r="AY388" i="14"/>
  <c r="AZ390" i="14"/>
  <c r="AZ387" i="14"/>
  <c r="AW387" i="14"/>
  <c r="AR387" i="14" s="1"/>
  <c r="AR386" i="14"/>
  <c r="AY387" i="14"/>
  <c r="AT387" i="14" s="1"/>
  <c r="AT386" i="14"/>
  <c r="AW388" i="14"/>
  <c r="AX390" i="14"/>
  <c r="AX387" i="14"/>
  <c r="AS394" i="14"/>
  <c r="AS393" i="14" s="1"/>
  <c r="AS375" i="14" s="1"/>
  <c r="AS391" i="14"/>
  <c r="AU394" i="14"/>
  <c r="AU393" i="14" s="1"/>
  <c r="AU375" i="14" s="1"/>
  <c r="AU391" i="14"/>
  <c r="AT347" i="14"/>
  <c r="AY348" i="14"/>
  <c r="AT348" i="14" s="1"/>
  <c r="EJ26" i="3"/>
  <c r="EI26" i="3"/>
  <c r="EI10" i="3"/>
  <c r="EJ10" i="3"/>
  <c r="EJ36" i="3"/>
  <c r="EI36" i="3"/>
  <c r="FX106" i="3"/>
  <c r="FR106" i="3" s="1"/>
  <c r="FK106" i="3" s="1"/>
  <c r="FP106" i="3" s="1"/>
  <c r="R106" i="3" s="1"/>
  <c r="DK106" i="3" s="1"/>
  <c r="ES106" i="3" s="1"/>
  <c r="EG106" i="3"/>
  <c r="EN98" i="3"/>
  <c r="EI98" i="3"/>
  <c r="EJ98" i="3" s="1"/>
  <c r="EJ22" i="3"/>
  <c r="EI22" i="3"/>
  <c r="EJ24" i="3"/>
  <c r="EI24" i="3"/>
  <c r="EJ28" i="3"/>
  <c r="EI28" i="3"/>
  <c r="DG38" i="3"/>
  <c r="DA38" i="3" s="1"/>
  <c r="AD38" i="3" s="1"/>
  <c r="EJ38" i="3"/>
  <c r="EI38" i="3"/>
  <c r="EJ34" i="3"/>
  <c r="EI34" i="3"/>
  <c r="EG105" i="3"/>
  <c r="EI105" i="3"/>
  <c r="EJ105" i="3" s="1"/>
  <c r="EM98" i="3"/>
  <c r="EG98" i="3"/>
  <c r="EH98" i="3" s="1"/>
  <c r="EU12" i="3"/>
  <c r="EO12" i="3" s="1"/>
  <c r="EU18" i="3"/>
  <c r="EO18" i="3" s="1"/>
  <c r="EU14" i="3"/>
  <c r="EO14" i="3" s="1"/>
  <c r="EU16" i="3"/>
  <c r="EO16" i="3" s="1"/>
  <c r="EQ16" i="3" s="1"/>
  <c r="M16" i="3" s="1"/>
  <c r="EJ16" i="3" s="1"/>
  <c r="AS435" i="14"/>
  <c r="AS432" i="14"/>
  <c r="AU343" i="14"/>
  <c r="AU340" i="14"/>
  <c r="AU435" i="14"/>
  <c r="AU432" i="14"/>
  <c r="AS343" i="14"/>
  <c r="AS340" i="14"/>
  <c r="EY115" i="3"/>
  <c r="EX115" i="3"/>
  <c r="EY109" i="3"/>
  <c r="EX109" i="3"/>
  <c r="FX98" i="3"/>
  <c r="FR98" i="3" s="1"/>
  <c r="FK98" i="3" s="1"/>
  <c r="FP98" i="3" s="1"/>
  <c r="R98" i="3" s="1"/>
  <c r="DX81" i="3"/>
  <c r="EJ82" i="3" s="1"/>
  <c r="CT113" i="3"/>
  <c r="ED113" i="3"/>
  <c r="DL113" i="3"/>
  <c r="DK113" i="3"/>
  <c r="DE117" i="3"/>
  <c r="AA117" i="3" s="1"/>
  <c r="T117" i="3" s="1"/>
  <c r="AD117" i="3"/>
  <c r="ED117" i="3"/>
  <c r="DH117" i="3"/>
  <c r="CT117" i="3"/>
  <c r="DL125" i="3"/>
  <c r="CT125" i="3"/>
  <c r="X125" i="3" s="1"/>
  <c r="Y125" i="3" s="1"/>
  <c r="ED123" i="3"/>
  <c r="DH123" i="3"/>
  <c r="CT123" i="3"/>
  <c r="X123" i="3" s="1"/>
  <c r="Y123" i="3" s="1"/>
  <c r="DG123" i="3" s="1"/>
  <c r="AC123" i="3" s="1"/>
  <c r="DE123" i="3"/>
  <c r="AA123" i="3" s="1"/>
  <c r="AD123" i="3"/>
  <c r="CT122" i="3"/>
  <c r="X122" i="3" s="1"/>
  <c r="Y122" i="3" s="1"/>
  <c r="ED111" i="3"/>
  <c r="AD111" i="3"/>
  <c r="DH111" i="3"/>
  <c r="DE111" i="3"/>
  <c r="AA111" i="3" s="1"/>
  <c r="CT111" i="3"/>
  <c r="CT110" i="3"/>
  <c r="CT119" i="3"/>
  <c r="DL119" i="3"/>
  <c r="ED119" i="3"/>
  <c r="DK119" i="3"/>
  <c r="CQ106" i="3"/>
  <c r="CS106" i="3" s="1"/>
  <c r="EJ106" i="3"/>
  <c r="DC107" i="3"/>
  <c r="DD107" i="3"/>
  <c r="CT118" i="3"/>
  <c r="DK118" i="3"/>
  <c r="DL118" i="3"/>
  <c r="DK112" i="3"/>
  <c r="CT112" i="3"/>
  <c r="DL112" i="3"/>
  <c r="DD99" i="3"/>
  <c r="EB99" i="3"/>
  <c r="DC99" i="3"/>
  <c r="EH106" i="3"/>
  <c r="FY106" i="3"/>
  <c r="FS106" i="3" s="1"/>
  <c r="FL106" i="3" s="1"/>
  <c r="GB106" i="3"/>
  <c r="FV106" i="3" s="1"/>
  <c r="FO106" i="3" s="1"/>
  <c r="GA106" i="3"/>
  <c r="FU106" i="3" s="1"/>
  <c r="FN106" i="3" s="1"/>
  <c r="CQ98" i="3"/>
  <c r="AL104" i="3"/>
  <c r="AM104" i="3" s="1"/>
  <c r="DJ105" i="3"/>
  <c r="AF105" i="3" s="1"/>
  <c r="DG105" i="3"/>
  <c r="AC105" i="3" s="1"/>
  <c r="T105" i="3"/>
  <c r="CT106" i="3"/>
  <c r="X106" i="3" s="1"/>
  <c r="Y106" i="3" s="1"/>
  <c r="CT104" i="3"/>
  <c r="X104" i="3" s="1"/>
  <c r="Y104" i="3" s="1"/>
  <c r="CU251" i="3"/>
  <c r="EL15" i="3"/>
  <c r="EQ15" i="3" s="1"/>
  <c r="M15" i="3" s="1"/>
  <c r="CS15" i="3" s="1"/>
  <c r="EL13" i="3"/>
  <c r="EQ13" i="3" s="1"/>
  <c r="M13" i="3" s="1"/>
  <c r="CS13" i="3" s="1"/>
  <c r="CR9" i="3"/>
  <c r="CU425" i="3"/>
  <c r="CU422" i="3"/>
  <c r="CS425" i="3"/>
  <c r="CS422" i="3"/>
  <c r="EQ8" i="3"/>
  <c r="M8" i="3" s="1"/>
  <c r="CU252" i="3"/>
  <c r="CU253" i="3" s="1"/>
  <c r="CV254" i="3"/>
  <c r="ET117" i="3"/>
  <c r="FH117" i="3" s="1"/>
  <c r="EQ18" i="3"/>
  <c r="M18" i="3" s="1"/>
  <c r="CS18" i="3" s="1"/>
  <c r="EU111" i="3"/>
  <c r="FI111" i="3" s="1"/>
  <c r="CR110" i="3"/>
  <c r="CS110" i="3"/>
  <c r="CS117" i="3"/>
  <c r="CR117" i="3"/>
  <c r="CR104" i="3"/>
  <c r="CS104" i="3"/>
  <c r="DH127" i="3"/>
  <c r="EF77" i="3"/>
  <c r="CR116" i="3"/>
  <c r="CS116" i="3"/>
  <c r="CR123" i="3"/>
  <c r="CS123" i="3"/>
  <c r="CS122" i="3"/>
  <c r="CR122" i="3"/>
  <c r="CS111" i="3"/>
  <c r="CR111" i="3"/>
  <c r="CS105" i="3"/>
  <c r="CR105" i="3"/>
  <c r="CS124" i="3"/>
  <c r="CR124" i="3"/>
  <c r="CR118" i="3"/>
  <c r="CS118" i="3"/>
  <c r="CR112" i="3"/>
  <c r="CS112" i="3"/>
  <c r="EL116" i="3"/>
  <c r="EK116" i="3"/>
  <c r="T116" i="3"/>
  <c r="EK118" i="3"/>
  <c r="EL118" i="3"/>
  <c r="EK112" i="3"/>
  <c r="EL112" i="3"/>
  <c r="EH105" i="3"/>
  <c r="FP100" i="3"/>
  <c r="R100" i="3" s="1"/>
  <c r="DL100" i="3" s="1"/>
  <c r="ET100" i="3" s="1"/>
  <c r="FH100" i="3" s="1"/>
  <c r="EW100" i="3"/>
  <c r="EY100" i="3" s="1"/>
  <c r="EZ100" i="3" s="1"/>
  <c r="EX100" i="3"/>
  <c r="FA100" i="3" s="1"/>
  <c r="FB100" i="3" s="1"/>
  <c r="EC77" i="3"/>
  <c r="EC127" i="3" s="1"/>
  <c r="EB77" i="3"/>
  <c r="EB127" i="3" s="1"/>
  <c r="DC91" i="3"/>
  <c r="CY91" i="3" s="1"/>
  <c r="N91" i="3" s="1"/>
  <c r="DC93" i="3"/>
  <c r="DD93" i="3"/>
  <c r="O92" i="3"/>
  <c r="Q92" i="3"/>
  <c r="DA92" i="3"/>
  <c r="P92" i="3" s="1"/>
  <c r="CY92" i="3"/>
  <c r="N92" i="3" s="1"/>
  <c r="R92" i="3" s="1"/>
  <c r="DX77" i="3"/>
  <c r="DX127" i="3" s="1"/>
  <c r="EF76" i="3"/>
  <c r="CY75" i="3"/>
  <c r="N75" i="3" s="1"/>
  <c r="DA75" i="3"/>
  <c r="P75" i="3" s="1"/>
  <c r="CY74" i="3"/>
  <c r="N74" i="3" s="1"/>
  <c r="DA74" i="3"/>
  <c r="P74" i="3" s="1"/>
  <c r="CZ74" i="3"/>
  <c r="O74" i="3" s="1"/>
  <c r="DB74" i="3"/>
  <c r="Q74" i="3" s="1"/>
  <c r="DD87" i="3"/>
  <c r="DC87" i="3"/>
  <c r="CY87" i="3" s="1"/>
  <c r="N87" i="3" s="1"/>
  <c r="EB76" i="3"/>
  <c r="EB126" i="3" s="1"/>
  <c r="EC76" i="3"/>
  <c r="EC126" i="3" s="1"/>
  <c r="DX73" i="3"/>
  <c r="L73" i="3" s="1"/>
  <c r="DD73" i="3" s="1"/>
  <c r="EY98" i="3"/>
  <c r="EZ98" i="3" s="1"/>
  <c r="FA98" i="3"/>
  <c r="FB98" i="3" s="1"/>
  <c r="FA99" i="3"/>
  <c r="FB99" i="3" s="1"/>
  <c r="EY99" i="3"/>
  <c r="EZ99" i="3" s="1"/>
  <c r="Z101" i="3"/>
  <c r="Q91" i="3"/>
  <c r="O91" i="3"/>
  <c r="EJ84" i="3"/>
  <c r="DG34" i="3"/>
  <c r="DD34" i="3" s="1"/>
  <c r="AG34" i="3" s="1"/>
  <c r="EJ109" i="3"/>
  <c r="EJ115" i="3"/>
  <c r="CS252" i="3"/>
  <c r="CS253" i="3" s="1"/>
  <c r="CT254" i="3"/>
  <c r="EQ11" i="3"/>
  <c r="M11" i="3" s="1"/>
  <c r="CS11" i="3" s="1"/>
  <c r="L85" i="3"/>
  <c r="L86" i="3"/>
  <c r="L83" i="3"/>
  <c r="L84" i="3"/>
  <c r="L81" i="3"/>
  <c r="L82" i="3"/>
  <c r="CR20" i="3"/>
  <c r="EQ17" i="3"/>
  <c r="M17" i="3" s="1"/>
  <c r="CS17" i="3" s="1"/>
  <c r="EQ19" i="3"/>
  <c r="M19" i="3" s="1"/>
  <c r="CS19" i="3" s="1"/>
  <c r="EQ21" i="3"/>
  <c r="M21" i="3" s="1"/>
  <c r="CS21" i="3" s="1"/>
  <c r="DG36" i="3"/>
  <c r="DA36" i="3" s="1"/>
  <c r="DF36" i="3"/>
  <c r="DC36" i="3" s="1"/>
  <c r="CV159" i="3"/>
  <c r="CU157" i="3"/>
  <c r="CU158" i="3" s="1"/>
  <c r="DB311" i="3"/>
  <c r="CU204" i="3"/>
  <c r="CT212" i="3"/>
  <c r="CS213" i="3"/>
  <c r="CS214" i="3" s="1"/>
  <c r="CT215" i="3"/>
  <c r="CU156" i="3"/>
  <c r="EQ41" i="3"/>
  <c r="M41" i="3" s="1"/>
  <c r="CT161" i="3"/>
  <c r="CS159" i="3"/>
  <c r="CS160" i="3" s="1"/>
  <c r="CT158" i="3"/>
  <c r="CU205" i="3"/>
  <c r="CU206" i="3" s="1"/>
  <c r="CV207" i="3"/>
  <c r="DF38" i="3"/>
  <c r="CZ38" i="3" s="1"/>
  <c r="AC38" i="3" s="1"/>
  <c r="EQ31" i="3"/>
  <c r="M31" i="3" s="1"/>
  <c r="CS31" i="3" s="1"/>
  <c r="EQ27" i="3"/>
  <c r="M27" i="3" s="1"/>
  <c r="CS27" i="3" s="1"/>
  <c r="EQ23" i="3"/>
  <c r="M23" i="3" s="1"/>
  <c r="CS23" i="3" s="1"/>
  <c r="EQ39" i="3"/>
  <c r="M39" i="3" s="1"/>
  <c r="CS39" i="3" s="1"/>
  <c r="EQ37" i="3"/>
  <c r="M37" i="3" s="1"/>
  <c r="CS37" i="3" s="1"/>
  <c r="EQ29" i="3"/>
  <c r="M29" i="3" s="1"/>
  <c r="CS29" i="3" s="1"/>
  <c r="EQ33" i="3"/>
  <c r="M33" i="3" s="1"/>
  <c r="CS33" i="3" s="1"/>
  <c r="EQ35" i="3"/>
  <c r="M35" i="3" s="1"/>
  <c r="CS35" i="3" s="1"/>
  <c r="DC34" i="3"/>
  <c r="AF34" i="3" s="1"/>
  <c r="EQ25" i="3"/>
  <c r="M25" i="3" s="1"/>
  <c r="CS25" i="3" s="1"/>
  <c r="DG28" i="3"/>
  <c r="CZ343" i="3" s="1"/>
  <c r="CZ342" i="3" s="1"/>
  <c r="DF28" i="3"/>
  <c r="DG26" i="3"/>
  <c r="CZ337" i="3" s="1"/>
  <c r="CZ336" i="3" s="1"/>
  <c r="DF26" i="3"/>
  <c r="DG24" i="3"/>
  <c r="DF24" i="3"/>
  <c r="DG22" i="3"/>
  <c r="DF22" i="3"/>
  <c r="CS100" i="3"/>
  <c r="CR100" i="3"/>
  <c r="EQ20" i="3"/>
  <c r="M20" i="3" s="1"/>
  <c r="EB80" i="3"/>
  <c r="DV80" i="3" s="1"/>
  <c r="EC80" i="3"/>
  <c r="DW80" i="3" s="1"/>
  <c r="DG30" i="3"/>
  <c r="CZ349" i="3" s="1"/>
  <c r="CZ348" i="3" s="1"/>
  <c r="EQ14" i="3"/>
  <c r="M14" i="3" s="1"/>
  <c r="CS14" i="3" s="1"/>
  <c r="Y14" i="3" s="1"/>
  <c r="Z14" i="3" s="1"/>
  <c r="O14" i="3" s="1"/>
  <c r="EQ12" i="3"/>
  <c r="M12" i="3" s="1"/>
  <c r="CS12" i="3" s="1"/>
  <c r="DX79" i="3"/>
  <c r="DG10" i="3"/>
  <c r="AA10" i="3"/>
  <c r="CS10" i="3" s="1"/>
  <c r="DF10" i="3"/>
  <c r="CS101" i="3"/>
  <c r="CR101" i="3"/>
  <c r="CR40" i="3"/>
  <c r="BR91" i="14" l="1"/>
  <c r="BQ90" i="14"/>
  <c r="BM70" i="15"/>
  <c r="BT66" i="15"/>
  <c r="BT67" i="15" s="1"/>
  <c r="BS67" i="15"/>
  <c r="CV66" i="15" s="1"/>
  <c r="BC59" i="15"/>
  <c r="BS83" i="14"/>
  <c r="CV82" i="14" s="1"/>
  <c r="AM89" i="14"/>
  <c r="BM94" i="14"/>
  <c r="BE90" i="15"/>
  <c r="BB58" i="14"/>
  <c r="AY59" i="14" s="1"/>
  <c r="BR91" i="15"/>
  <c r="CT90" i="15" s="1"/>
  <c r="BE74" i="14"/>
  <c r="BE83" i="15"/>
  <c r="BC83" i="14"/>
  <c r="BT75" i="15"/>
  <c r="BS74" i="15"/>
  <c r="BE67" i="15"/>
  <c r="BB66" i="15"/>
  <c r="AY67" i="15" s="1"/>
  <c r="BE58" i="14"/>
  <c r="BA59" i="14" s="1"/>
  <c r="BB73" i="14"/>
  <c r="AY75" i="14" s="1"/>
  <c r="BQ75" i="15"/>
  <c r="BR74" i="15"/>
  <c r="BE82" i="14"/>
  <c r="BE73" i="15"/>
  <c r="BE91" i="15"/>
  <c r="BA75" i="14"/>
  <c r="BS91" i="14"/>
  <c r="BT90" i="14"/>
  <c r="BT67" i="14"/>
  <c r="BC91" i="15"/>
  <c r="BT91" i="14"/>
  <c r="BS90" i="14"/>
  <c r="BR75" i="14"/>
  <c r="CT74" i="14" s="1"/>
  <c r="BQ74" i="14"/>
  <c r="BM86" i="15"/>
  <c r="BT82" i="15"/>
  <c r="BT83" i="15" s="1"/>
  <c r="BS83" i="15"/>
  <c r="CV82" i="15" s="1"/>
  <c r="BQ67" i="15"/>
  <c r="CT66" i="15" s="1"/>
  <c r="BR66" i="15"/>
  <c r="BR67" i="15" s="1"/>
  <c r="BJ61" i="14"/>
  <c r="BN61" i="14"/>
  <c r="BN62" i="14" s="1"/>
  <c r="BJ62" i="14"/>
  <c r="BE59" i="15"/>
  <c r="BQ74" i="15"/>
  <c r="BR75" i="15"/>
  <c r="BA83" i="14"/>
  <c r="BQ83" i="15"/>
  <c r="CT82" i="15" s="1"/>
  <c r="BE82" i="15"/>
  <c r="BA83" i="15" s="1"/>
  <c r="BB82" i="14"/>
  <c r="AY83" i="14" s="1"/>
  <c r="BB57" i="15"/>
  <c r="AY59" i="15" s="1"/>
  <c r="BE58" i="15"/>
  <c r="BA59" i="15" s="1"/>
  <c r="AM73" i="15"/>
  <c r="BM78" i="15"/>
  <c r="BT74" i="15"/>
  <c r="BS75" i="15"/>
  <c r="CV74" i="15" s="1"/>
  <c r="BM61" i="14"/>
  <c r="BG62" i="14"/>
  <c r="BG61" i="14"/>
  <c r="BB89" i="14"/>
  <c r="AY91" i="14" s="1"/>
  <c r="BM70" i="14"/>
  <c r="AM65" i="14"/>
  <c r="AI65" i="14" s="1"/>
  <c r="AJ65" i="14" s="1"/>
  <c r="BB89" i="15"/>
  <c r="AY91" i="15" s="1"/>
  <c r="BE90" i="14"/>
  <c r="BA91" i="14" s="1"/>
  <c r="BQ66" i="14"/>
  <c r="BQ67" i="14" s="1"/>
  <c r="BR67" i="14"/>
  <c r="BA75" i="15"/>
  <c r="BB82" i="15"/>
  <c r="AY83" i="15" s="1"/>
  <c r="BE65" i="15"/>
  <c r="BA67" i="15" s="1"/>
  <c r="BQ83" i="14"/>
  <c r="BB73" i="15"/>
  <c r="AY75" i="15" s="1"/>
  <c r="BA91" i="15"/>
  <c r="CV66" i="14"/>
  <c r="BW58" i="14"/>
  <c r="BQ91" i="14"/>
  <c r="CT90" i="14" s="1"/>
  <c r="BR90" i="14"/>
  <c r="BB65" i="14"/>
  <c r="AY67" i="14" s="1"/>
  <c r="BS91" i="15"/>
  <c r="CV90" i="15" s="1"/>
  <c r="BE65" i="14"/>
  <c r="BA67" i="14" s="1"/>
  <c r="CT58" i="15"/>
  <c r="J122" i="18"/>
  <c r="J124" i="18" s="1"/>
  <c r="EE126" i="3"/>
  <c r="DY76" i="3"/>
  <c r="CR16" i="15"/>
  <c r="CR18" i="15" s="1"/>
  <c r="CG18" i="15" s="1"/>
  <c r="CI16" i="15" s="1"/>
  <c r="FN65" i="3"/>
  <c r="DA64" i="3" s="1"/>
  <c r="AD64" i="3" s="1"/>
  <c r="FM65" i="3"/>
  <c r="CZ64" i="3"/>
  <c r="AC64" i="3" s="1"/>
  <c r="N64" i="3" s="1"/>
  <c r="DC64" i="3"/>
  <c r="AF64" i="3" s="1"/>
  <c r="FM56" i="3"/>
  <c r="DC55" i="3"/>
  <c r="AF55" i="3" s="1"/>
  <c r="CZ55" i="3"/>
  <c r="AC55" i="3" s="1"/>
  <c r="N55" i="3" s="1"/>
  <c r="FN56" i="3"/>
  <c r="DA55" i="3"/>
  <c r="AD55" i="3" s="1"/>
  <c r="CR82" i="14"/>
  <c r="CV83" i="14"/>
  <c r="N65" i="3"/>
  <c r="AD36" i="3"/>
  <c r="EJ30" i="3"/>
  <c r="V65" i="15"/>
  <c r="CP82" i="15"/>
  <c r="CT83" i="15"/>
  <c r="BF86" i="15" s="1"/>
  <c r="CV83" i="15"/>
  <c r="CR82" i="15"/>
  <c r="CP66" i="15"/>
  <c r="CT67" i="15"/>
  <c r="BF70" i="15" s="1"/>
  <c r="CR66" i="15"/>
  <c r="CV67" i="15"/>
  <c r="V73" i="14"/>
  <c r="CR90" i="15"/>
  <c r="CV91" i="15"/>
  <c r="CP90" i="15"/>
  <c r="CT91" i="15"/>
  <c r="BF94" i="15" s="1"/>
  <c r="AY436" i="14"/>
  <c r="AT436" i="14" s="1"/>
  <c r="AT435" i="14"/>
  <c r="E20" i="18"/>
  <c r="E21" i="18"/>
  <c r="E364" i="18"/>
  <c r="E365" i="18"/>
  <c r="F363" i="18"/>
  <c r="F18" i="18"/>
  <c r="F17" i="18"/>
  <c r="F19" i="18" s="1"/>
  <c r="F23" i="18"/>
  <c r="F25" i="18" s="1"/>
  <c r="N56" i="3"/>
  <c r="BG15" i="15"/>
  <c r="AZ15" i="15" s="1"/>
  <c r="BF33" i="15"/>
  <c r="AY33" i="15" s="1"/>
  <c r="BL34" i="15"/>
  <c r="CA37" i="15"/>
  <c r="CC37" i="15"/>
  <c r="BK40" i="15"/>
  <c r="BE39" i="15"/>
  <c r="AX39" i="15" s="1"/>
  <c r="BJ40" i="15"/>
  <c r="BG43" i="15" s="1"/>
  <c r="BD39" i="15"/>
  <c r="AW39" i="15" s="1"/>
  <c r="CI39" i="15" s="1"/>
  <c r="BG42" i="15"/>
  <c r="CK40" i="15"/>
  <c r="CI40" i="15"/>
  <c r="CC43" i="15"/>
  <c r="CA43" i="15"/>
  <c r="BF42" i="15"/>
  <c r="BC39" i="15"/>
  <c r="AV39" i="15" s="1"/>
  <c r="BG33" i="14"/>
  <c r="AZ33" i="14" s="1"/>
  <c r="BM34" i="14"/>
  <c r="BJ37" i="14" s="1"/>
  <c r="BN34" i="14"/>
  <c r="BH33" i="14"/>
  <c r="BA33" i="14" s="1"/>
  <c r="CC25" i="15"/>
  <c r="CA25" i="15"/>
  <c r="BF25" i="15"/>
  <c r="BC22" i="15"/>
  <c r="AV22" i="15" s="1"/>
  <c r="BK22" i="15"/>
  <c r="BE21" i="15"/>
  <c r="AX21" i="15" s="1"/>
  <c r="BJ22" i="15"/>
  <c r="BG25" i="15" s="1"/>
  <c r="BD21" i="15"/>
  <c r="AW21" i="15" s="1"/>
  <c r="CI21" i="15" s="1"/>
  <c r="BG24" i="15"/>
  <c r="CK22" i="15"/>
  <c r="CI22" i="15"/>
  <c r="BN40" i="14"/>
  <c r="BH39" i="14"/>
  <c r="BA39" i="14" s="1"/>
  <c r="BM40" i="14"/>
  <c r="BJ43" i="14" s="1"/>
  <c r="BG39" i="14"/>
  <c r="AZ39" i="14" s="1"/>
  <c r="BJ28" i="15"/>
  <c r="BG31" i="15" s="1"/>
  <c r="BG30" i="15"/>
  <c r="BD27" i="15"/>
  <c r="AW27" i="15" s="1"/>
  <c r="CI27" i="15" s="1"/>
  <c r="BN28" i="15"/>
  <c r="BH27" i="15"/>
  <c r="BA27" i="15" s="1"/>
  <c r="CE85" i="15"/>
  <c r="CE84" i="15"/>
  <c r="DG90" i="14"/>
  <c r="DJ92" i="14"/>
  <c r="DJ93" i="14" s="1"/>
  <c r="DG92" i="14"/>
  <c r="DG93" i="14" s="1"/>
  <c r="CE68" i="14"/>
  <c r="CE69" i="14"/>
  <c r="BM22" i="14"/>
  <c r="BJ25" i="14" s="1"/>
  <c r="BG21" i="14"/>
  <c r="AZ21" i="14" s="1"/>
  <c r="CK21" i="14" s="1"/>
  <c r="BD21" i="14"/>
  <c r="AW21" i="14" s="1"/>
  <c r="CI21" i="14" s="1"/>
  <c r="BJ22" i="14"/>
  <c r="BG25" i="14" s="1"/>
  <c r="BL16" i="14"/>
  <c r="BF15" i="14"/>
  <c r="AY15" i="14" s="1"/>
  <c r="BF19" i="15"/>
  <c r="BC16" i="15"/>
  <c r="AV16" i="15" s="1"/>
  <c r="BL16" i="15"/>
  <c r="BF15" i="15"/>
  <c r="AY15" i="15" s="1"/>
  <c r="CE85" i="14"/>
  <c r="CE84" i="14"/>
  <c r="BM34" i="15"/>
  <c r="BJ37" i="15" s="1"/>
  <c r="BG33" i="15"/>
  <c r="AZ33" i="15" s="1"/>
  <c r="BK34" i="15"/>
  <c r="BE33" i="15"/>
  <c r="AX33" i="15" s="1"/>
  <c r="CE69" i="15"/>
  <c r="CE68" i="15"/>
  <c r="BF37" i="14"/>
  <c r="BC34" i="14"/>
  <c r="AV34" i="14" s="1"/>
  <c r="BF33" i="14"/>
  <c r="AY33" i="14" s="1"/>
  <c r="BL34" i="14"/>
  <c r="CA43" i="14"/>
  <c r="CC43" i="14"/>
  <c r="BL40" i="14"/>
  <c r="BF39" i="14"/>
  <c r="AY39" i="14" s="1"/>
  <c r="BC28" i="15"/>
  <c r="AV28" i="15" s="1"/>
  <c r="BF31" i="15"/>
  <c r="CA31" i="15"/>
  <c r="CC31" i="15"/>
  <c r="CE93" i="14"/>
  <c r="CE92" i="14"/>
  <c r="BF25" i="14"/>
  <c r="BC22" i="14"/>
  <c r="AV22" i="14" s="1"/>
  <c r="BL22" i="14"/>
  <c r="BF21" i="14"/>
  <c r="AY21" i="14" s="1"/>
  <c r="CJ21" i="14" s="1"/>
  <c r="CP74" i="14"/>
  <c r="CT75" i="14"/>
  <c r="BF78" i="14" s="1"/>
  <c r="BK28" i="14"/>
  <c r="BE27" i="14"/>
  <c r="AX27" i="14" s="1"/>
  <c r="BN28" i="14"/>
  <c r="BH27" i="14"/>
  <c r="BA27" i="14" s="1"/>
  <c r="CK28" i="14"/>
  <c r="CI28" i="14"/>
  <c r="CC31" i="14"/>
  <c r="CA31" i="14"/>
  <c r="BF31" i="14"/>
  <c r="BC28" i="14"/>
  <c r="AV28" i="14" s="1"/>
  <c r="N52" i="3"/>
  <c r="BB15" i="14"/>
  <c r="BC34" i="15"/>
  <c r="AV34" i="15" s="1"/>
  <c r="BF37" i="15"/>
  <c r="BC33" i="15"/>
  <c r="AV33" i="15" s="1"/>
  <c r="BN40" i="15"/>
  <c r="BH39" i="15"/>
  <c r="BA39" i="15" s="1"/>
  <c r="BM40" i="15"/>
  <c r="BJ43" i="15" s="1"/>
  <c r="BJ42" i="15"/>
  <c r="BG39" i="15"/>
  <c r="AZ39" i="15" s="1"/>
  <c r="CK39" i="15" s="1"/>
  <c r="BI42" i="15"/>
  <c r="BF39" i="15"/>
  <c r="AY39" i="15" s="1"/>
  <c r="CJ39" i="15" s="1"/>
  <c r="BL40" i="15"/>
  <c r="BF43" i="15"/>
  <c r="BC40" i="15"/>
  <c r="AV40" i="15" s="1"/>
  <c r="BD33" i="14"/>
  <c r="AW33" i="14" s="1"/>
  <c r="BJ34" i="14"/>
  <c r="BG37" i="14" s="1"/>
  <c r="BK34" i="14"/>
  <c r="BE33" i="14"/>
  <c r="AX33" i="14" s="1"/>
  <c r="CE76" i="15"/>
  <c r="CE77" i="15"/>
  <c r="BF24" i="15"/>
  <c r="BC21" i="15"/>
  <c r="AV21" i="15" s="1"/>
  <c r="BF21" i="15"/>
  <c r="AY21" i="15" s="1"/>
  <c r="CJ21" i="15" s="1"/>
  <c r="BL22" i="15"/>
  <c r="BI24" i="15"/>
  <c r="BN22" i="15"/>
  <c r="BH21" i="15"/>
  <c r="BA21" i="15" s="1"/>
  <c r="BM22" i="15"/>
  <c r="BJ25" i="15" s="1"/>
  <c r="BG21" i="15"/>
  <c r="AZ21" i="15" s="1"/>
  <c r="CK21" i="15" s="1"/>
  <c r="BJ24" i="15"/>
  <c r="BK40" i="14"/>
  <c r="BE39" i="14"/>
  <c r="AX39" i="14" s="1"/>
  <c r="BJ40" i="14"/>
  <c r="BG43" i="14" s="1"/>
  <c r="BD39" i="14"/>
  <c r="AW39" i="14" s="1"/>
  <c r="BE27" i="15"/>
  <c r="AX27" i="15" s="1"/>
  <c r="BK28" i="15"/>
  <c r="BM28" i="15"/>
  <c r="BJ31" i="15" s="1"/>
  <c r="BJ30" i="15"/>
  <c r="BG27" i="15"/>
  <c r="AZ27" i="15" s="1"/>
  <c r="CK27" i="15" s="1"/>
  <c r="CK28" i="15"/>
  <c r="CI28" i="15"/>
  <c r="CK22" i="14"/>
  <c r="CI22" i="14"/>
  <c r="BE21" i="14"/>
  <c r="AX21" i="14" s="1"/>
  <c r="BK22" i="14"/>
  <c r="BN22" i="14"/>
  <c r="BH21" i="14"/>
  <c r="BA21" i="14" s="1"/>
  <c r="BF19" i="14"/>
  <c r="BC16" i="14"/>
  <c r="AV16" i="14" s="1"/>
  <c r="CE93" i="15"/>
  <c r="CE92" i="15"/>
  <c r="CE76" i="14"/>
  <c r="CE77" i="14"/>
  <c r="BK36" i="15"/>
  <c r="BK37" i="15" s="1"/>
  <c r="AB33" i="15"/>
  <c r="BH36" i="15"/>
  <c r="BH37" i="15" s="1"/>
  <c r="Y33" i="15"/>
  <c r="P33" i="15" s="1"/>
  <c r="BD33" i="15"/>
  <c r="AW33" i="15" s="1"/>
  <c r="BJ34" i="15"/>
  <c r="BG37" i="15" s="1"/>
  <c r="BN34" i="15"/>
  <c r="BH33" i="15"/>
  <c r="BA33" i="15" s="1"/>
  <c r="BC33" i="14"/>
  <c r="AV33" i="14" s="1"/>
  <c r="CC37" i="14"/>
  <c r="CA37" i="14"/>
  <c r="DG74" i="15"/>
  <c r="DJ76" i="15"/>
  <c r="DJ77" i="15" s="1"/>
  <c r="DG76" i="15"/>
  <c r="DG77" i="15" s="1"/>
  <c r="BC39" i="14"/>
  <c r="AV39" i="14" s="1"/>
  <c r="BF43" i="14"/>
  <c r="BC40" i="14"/>
  <c r="AV40" i="14" s="1"/>
  <c r="N49" i="3"/>
  <c r="BF30" i="15"/>
  <c r="BC27" i="15"/>
  <c r="AV27" i="15" s="1"/>
  <c r="BI30" i="15"/>
  <c r="BF27" i="15"/>
  <c r="AY27" i="15" s="1"/>
  <c r="CJ27" i="15" s="1"/>
  <c r="BL28" i="15"/>
  <c r="CA25" i="14"/>
  <c r="CC25" i="14"/>
  <c r="BB21" i="14"/>
  <c r="CH21" i="14"/>
  <c r="CL21" i="14" s="1"/>
  <c r="CR74" i="14"/>
  <c r="CV75" i="14"/>
  <c r="BM28" i="14"/>
  <c r="BJ31" i="14" s="1"/>
  <c r="BG27" i="14"/>
  <c r="AZ27" i="14" s="1"/>
  <c r="CK27" i="14" s="1"/>
  <c r="BJ30" i="14"/>
  <c r="BJ28" i="14"/>
  <c r="BG31" i="14" s="1"/>
  <c r="BD27" i="14"/>
  <c r="AW27" i="14" s="1"/>
  <c r="CI27" i="14" s="1"/>
  <c r="BG30" i="14"/>
  <c r="BC27" i="14"/>
  <c r="AV27" i="14" s="1"/>
  <c r="BF30" i="14"/>
  <c r="BL28" i="14"/>
  <c r="BF27" i="14"/>
  <c r="AY27" i="14" s="1"/>
  <c r="BI30" i="14"/>
  <c r="DF30" i="3"/>
  <c r="DD38" i="3"/>
  <c r="AG38" i="3" s="1"/>
  <c r="DF110" i="3"/>
  <c r="AB110" i="3" s="1"/>
  <c r="DL106" i="3"/>
  <c r="ED125" i="3"/>
  <c r="DI60" i="15"/>
  <c r="DI61" i="15" s="1"/>
  <c r="DF58" i="15"/>
  <c r="DF60" i="15"/>
  <c r="DF61" i="15" s="1"/>
  <c r="DF60" i="14"/>
  <c r="DF61" i="14" s="1"/>
  <c r="DI60" i="14"/>
  <c r="DI61" i="14" s="1"/>
  <c r="DF58" i="14"/>
  <c r="CI15" i="15"/>
  <c r="CK15" i="15"/>
  <c r="DI57" i="15"/>
  <c r="DI58" i="15" s="1"/>
  <c r="CR16" i="14"/>
  <c r="CR18" i="14" s="1"/>
  <c r="CG18" i="14" s="1"/>
  <c r="CU16" i="14"/>
  <c r="CU18" i="14" s="1"/>
  <c r="DI57" i="14"/>
  <c r="DI58" i="14" s="1"/>
  <c r="CP52" i="14"/>
  <c r="CV59" i="14"/>
  <c r="CR58" i="14"/>
  <c r="BH15" i="15"/>
  <c r="BA15" i="15" s="1"/>
  <c r="BB15" i="15" s="1"/>
  <c r="BN16" i="15"/>
  <c r="CP58" i="15"/>
  <c r="CT59" i="15"/>
  <c r="BF62" i="15" s="1"/>
  <c r="DH57" i="14"/>
  <c r="DE57" i="14"/>
  <c r="DH57" i="15"/>
  <c r="DE57" i="15"/>
  <c r="CT58" i="14"/>
  <c r="CV58" i="15"/>
  <c r="CT16" i="14"/>
  <c r="CT18" i="14" s="1"/>
  <c r="CQ16" i="14"/>
  <c r="CQ18" i="14" s="1"/>
  <c r="CF18" i="14" s="1"/>
  <c r="CK16" i="15"/>
  <c r="CT16" i="15"/>
  <c r="CT18" i="15" s="1"/>
  <c r="CQ16" i="15"/>
  <c r="CQ18" i="15" s="1"/>
  <c r="CF18" i="15" s="1"/>
  <c r="BV65" i="14"/>
  <c r="Z65" i="14" s="1"/>
  <c r="DC78" i="3"/>
  <c r="DB78" i="3"/>
  <c r="Q78" i="3" s="1"/>
  <c r="CZ78" i="3"/>
  <c r="O78" i="3" s="1"/>
  <c r="DB75" i="3"/>
  <c r="Q75" i="3" s="1"/>
  <c r="CZ75" i="3"/>
  <c r="O75" i="3" s="1"/>
  <c r="BW65" i="14"/>
  <c r="AC65" i="14" s="1"/>
  <c r="DG65" i="14"/>
  <c r="DG68" i="14" s="1"/>
  <c r="DG69" i="14" s="1"/>
  <c r="CS41" i="3"/>
  <c r="DG41" i="3"/>
  <c r="AA30" i="3"/>
  <c r="CS30" i="3" s="1"/>
  <c r="Y30" i="3" s="1"/>
  <c r="EI16" i="3"/>
  <c r="CS16" i="3"/>
  <c r="DG125" i="3"/>
  <c r="AC125" i="3" s="1"/>
  <c r="DJ125" i="3"/>
  <c r="AF125" i="3" s="1"/>
  <c r="DJ124" i="3"/>
  <c r="AF124" i="3" s="1"/>
  <c r="DG124" i="3"/>
  <c r="AC124" i="3" s="1"/>
  <c r="DK124" i="3"/>
  <c r="DE124" i="3" s="1"/>
  <c r="AA124" i="3" s="1"/>
  <c r="DL124" i="3"/>
  <c r="DI124" i="3" s="1"/>
  <c r="AE124" i="3" s="1"/>
  <c r="DH124" i="3"/>
  <c r="AD124" i="3" s="1"/>
  <c r="EU124" i="3"/>
  <c r="FI124" i="3" s="1"/>
  <c r="ET124" i="3"/>
  <c r="FH124" i="3" s="1"/>
  <c r="EU122" i="3"/>
  <c r="FI122" i="3" s="1"/>
  <c r="ET122" i="3"/>
  <c r="FH122" i="3" s="1"/>
  <c r="ES122" i="3"/>
  <c r="ER122" i="3"/>
  <c r="ES123" i="3"/>
  <c r="ER123" i="3"/>
  <c r="EQ32" i="3"/>
  <c r="M32" i="3" s="1"/>
  <c r="CS32" i="3" s="1"/>
  <c r="Y32" i="3" s="1"/>
  <c r="EK106" i="3"/>
  <c r="EL106" i="3"/>
  <c r="DH110" i="3"/>
  <c r="AD110" i="3" s="1"/>
  <c r="DJ123" i="3"/>
  <c r="AF123" i="3" s="1"/>
  <c r="U123" i="3" s="1"/>
  <c r="Z98" i="3"/>
  <c r="CT98" i="3" s="1"/>
  <c r="X98" i="3" s="1"/>
  <c r="Y98" i="3" s="1"/>
  <c r="CZ93" i="3"/>
  <c r="DB93" i="3"/>
  <c r="DJ68" i="14"/>
  <c r="DJ69" i="14" s="1"/>
  <c r="CZ87" i="3"/>
  <c r="O87" i="3" s="1"/>
  <c r="R87" i="3" s="1"/>
  <c r="DF32" i="3"/>
  <c r="CZ32" i="3" s="1"/>
  <c r="AC32" i="3" s="1"/>
  <c r="CR32" i="3"/>
  <c r="DF16" i="3"/>
  <c r="DC16" i="3" s="1"/>
  <c r="AF16" i="3" s="1"/>
  <c r="DG16" i="3"/>
  <c r="EJ35" i="3"/>
  <c r="DF35" i="3"/>
  <c r="DG35" i="3"/>
  <c r="EJ29" i="3"/>
  <c r="DF29" i="3"/>
  <c r="DG29" i="3"/>
  <c r="DD29" i="3" s="1"/>
  <c r="EJ39" i="3"/>
  <c r="DF39" i="3"/>
  <c r="DG39" i="3"/>
  <c r="DD39" i="3" s="1"/>
  <c r="DF27" i="3"/>
  <c r="DG27" i="3"/>
  <c r="DD27" i="3" s="1"/>
  <c r="DF41" i="3"/>
  <c r="DF19" i="3"/>
  <c r="DG19" i="3"/>
  <c r="DD19" i="3" s="1"/>
  <c r="DF15" i="3"/>
  <c r="DG15" i="3"/>
  <c r="EJ25" i="3"/>
  <c r="DF25" i="3"/>
  <c r="DG25" i="3"/>
  <c r="DD25" i="3" s="1"/>
  <c r="EJ33" i="3"/>
  <c r="DF33" i="3"/>
  <c r="DG33" i="3"/>
  <c r="EJ37" i="3"/>
  <c r="DF37" i="3"/>
  <c r="DG37" i="3"/>
  <c r="DA37" i="3" s="1"/>
  <c r="DF23" i="3"/>
  <c r="DG23" i="3"/>
  <c r="DD23" i="3" s="1"/>
  <c r="DF31" i="3"/>
  <c r="DG31" i="3"/>
  <c r="EJ21" i="3"/>
  <c r="DF21" i="3"/>
  <c r="DG21" i="3"/>
  <c r="DA21" i="3" s="1"/>
  <c r="DF17" i="3"/>
  <c r="DG17" i="3"/>
  <c r="DA17" i="3" s="1"/>
  <c r="DF11" i="3"/>
  <c r="DG11" i="3"/>
  <c r="DF13" i="3"/>
  <c r="DG13" i="3"/>
  <c r="CR342" i="3"/>
  <c r="CR388" i="3"/>
  <c r="CR389" i="3" s="1"/>
  <c r="CT342" i="3"/>
  <c r="CT388" i="3"/>
  <c r="CT389" i="3" s="1"/>
  <c r="CT343" i="3"/>
  <c r="CT437" i="3" s="1"/>
  <c r="CT438" i="3" s="1"/>
  <c r="CU345" i="3"/>
  <c r="CU342" i="3"/>
  <c r="CR343" i="3"/>
  <c r="CR437" i="3" s="1"/>
  <c r="CR438" i="3" s="1"/>
  <c r="CS345" i="3"/>
  <c r="CS342" i="3"/>
  <c r="DD109" i="3"/>
  <c r="DD115" i="3"/>
  <c r="DJ115" i="3"/>
  <c r="EK115" i="3"/>
  <c r="EC115" i="3"/>
  <c r="DJ114" i="3"/>
  <c r="DG114" i="3"/>
  <c r="DD114" i="3"/>
  <c r="N21" i="14"/>
  <c r="BR21" i="14" s="1"/>
  <c r="DK115" i="3"/>
  <c r="DK114" i="3"/>
  <c r="DK108" i="3"/>
  <c r="DJ108" i="3"/>
  <c r="DG108" i="3"/>
  <c r="DD108" i="3"/>
  <c r="AY438" i="15"/>
  <c r="AZ440" i="15"/>
  <c r="AZ437" i="15"/>
  <c r="AY393" i="15"/>
  <c r="AZ392" i="15"/>
  <c r="AZ395" i="15"/>
  <c r="AT391" i="15"/>
  <c r="AY392" i="15"/>
  <c r="AT392" i="15" s="1"/>
  <c r="AW438" i="15"/>
  <c r="AX440" i="15"/>
  <c r="AX437" i="15"/>
  <c r="AW345" i="15"/>
  <c r="AR345" i="15" s="1"/>
  <c r="AR344" i="15"/>
  <c r="AW393" i="15"/>
  <c r="AX392" i="15"/>
  <c r="AX395" i="15"/>
  <c r="AR391" i="15"/>
  <c r="AW392" i="15"/>
  <c r="AR392" i="15" s="1"/>
  <c r="AZ348" i="15"/>
  <c r="AY346" i="15"/>
  <c r="AZ345" i="15"/>
  <c r="AY437" i="15"/>
  <c r="AT437" i="15" s="1"/>
  <c r="AT436" i="15"/>
  <c r="AW437" i="15"/>
  <c r="AR437" i="15" s="1"/>
  <c r="AR436" i="15"/>
  <c r="AX348" i="15"/>
  <c r="AW346" i="15"/>
  <c r="AX345" i="15"/>
  <c r="AY345" i="15"/>
  <c r="AT345" i="15" s="1"/>
  <c r="AT344" i="15"/>
  <c r="AW437" i="14"/>
  <c r="AX439" i="14"/>
  <c r="AX436" i="14"/>
  <c r="AW436" i="14"/>
  <c r="AR436" i="14" s="1"/>
  <c r="AR435" i="14"/>
  <c r="AY437" i="14"/>
  <c r="AZ439" i="14"/>
  <c r="AZ436" i="14"/>
  <c r="AW390" i="14"/>
  <c r="AX392" i="14"/>
  <c r="AX389" i="14"/>
  <c r="AY389" i="14"/>
  <c r="AT389" i="14" s="1"/>
  <c r="AT388" i="14"/>
  <c r="AW389" i="14"/>
  <c r="AR389" i="14" s="1"/>
  <c r="AR388" i="14"/>
  <c r="AY390" i="14"/>
  <c r="AZ392" i="14"/>
  <c r="AZ389" i="14"/>
  <c r="EI27" i="3"/>
  <c r="EJ27" i="3"/>
  <c r="EI41" i="3"/>
  <c r="EJ41" i="3"/>
  <c r="DG18" i="3"/>
  <c r="EI18" i="3"/>
  <c r="EJ18" i="3"/>
  <c r="DG14" i="3"/>
  <c r="CY320" i="3" s="1"/>
  <c r="EI14" i="3"/>
  <c r="EJ14" i="3"/>
  <c r="DG12" i="3"/>
  <c r="CY315" i="3" s="1"/>
  <c r="EI12" i="3"/>
  <c r="EJ12" i="3"/>
  <c r="EI20" i="3"/>
  <c r="AA20" i="3" s="1"/>
  <c r="CS20" i="3" s="1"/>
  <c r="Y20" i="3" s="1"/>
  <c r="EJ20" i="3"/>
  <c r="EI23" i="3"/>
  <c r="EJ23" i="3"/>
  <c r="EI31" i="3"/>
  <c r="EJ31" i="3"/>
  <c r="EM99" i="3"/>
  <c r="EN99" i="3"/>
  <c r="DG8" i="3"/>
  <c r="DA8" i="3" s="1"/>
  <c r="EI8" i="3"/>
  <c r="EJ8" i="3"/>
  <c r="EI25" i="3"/>
  <c r="EI33" i="3"/>
  <c r="EI39" i="3"/>
  <c r="EI35" i="3"/>
  <c r="EI29" i="3"/>
  <c r="EI37" i="3"/>
  <c r="DE38" i="3"/>
  <c r="DB38" i="3"/>
  <c r="DE30" i="3"/>
  <c r="AH30" i="3" s="1"/>
  <c r="DB30" i="3"/>
  <c r="AE30" i="3" s="1"/>
  <c r="DE34" i="3"/>
  <c r="DB34" i="3"/>
  <c r="EI21" i="3"/>
  <c r="EI17" i="3"/>
  <c r="EJ17" i="3"/>
  <c r="EI15" i="3"/>
  <c r="EJ15" i="3"/>
  <c r="EI19" i="3"/>
  <c r="EJ19" i="3"/>
  <c r="EI11" i="3"/>
  <c r="EJ11" i="3"/>
  <c r="EI13" i="3"/>
  <c r="EJ13" i="3"/>
  <c r="DE16" i="3"/>
  <c r="DB16" i="3"/>
  <c r="AS345" i="14"/>
  <c r="AS342" i="14"/>
  <c r="AU437" i="14"/>
  <c r="AU434" i="14"/>
  <c r="AU345" i="14"/>
  <c r="AU342" i="14"/>
  <c r="AS437" i="14"/>
  <c r="AS434" i="14"/>
  <c r="DC32" i="3"/>
  <c r="AF32" i="3" s="1"/>
  <c r="DD36" i="3"/>
  <c r="AG36" i="3" s="1"/>
  <c r="CR106" i="3"/>
  <c r="DA34" i="3"/>
  <c r="AD34" i="3" s="1"/>
  <c r="DF111" i="3"/>
  <c r="AB111" i="3" s="1"/>
  <c r="T111" i="3" s="1"/>
  <c r="ET111" i="3"/>
  <c r="FH111" i="3" s="1"/>
  <c r="EF111" i="3"/>
  <c r="EL111" i="3"/>
  <c r="DJ122" i="3"/>
  <c r="AF122" i="3" s="1"/>
  <c r="DG122" i="3"/>
  <c r="AC122" i="3" s="1"/>
  <c r="DE122" i="3"/>
  <c r="AA122" i="3" s="1"/>
  <c r="DH122" i="3"/>
  <c r="AD122" i="3" s="1"/>
  <c r="DH125" i="3"/>
  <c r="AD125" i="3" s="1"/>
  <c r="DE125" i="3"/>
  <c r="AA125" i="3" s="1"/>
  <c r="DI117" i="3"/>
  <c r="AE117" i="3" s="1"/>
  <c r="DF117" i="3"/>
  <c r="AB117" i="3" s="1"/>
  <c r="DI113" i="3"/>
  <c r="AE113" i="3" s="1"/>
  <c r="EU113" i="3"/>
  <c r="FI113" i="3" s="1"/>
  <c r="DF113" i="3"/>
  <c r="AB113" i="3" s="1"/>
  <c r="ET113" i="3"/>
  <c r="FH113" i="3" s="1"/>
  <c r="DF122" i="3"/>
  <c r="AB122" i="3" s="1"/>
  <c r="DI122" i="3"/>
  <c r="AE122" i="3" s="1"/>
  <c r="DI123" i="3"/>
  <c r="AE123" i="3" s="1"/>
  <c r="ET123" i="3"/>
  <c r="FH123" i="3" s="1"/>
  <c r="DF123" i="3"/>
  <c r="AB123" i="3" s="1"/>
  <c r="T123" i="3" s="1"/>
  <c r="EU123" i="3"/>
  <c r="FI123" i="3" s="1"/>
  <c r="EF123" i="3"/>
  <c r="EL123" i="3"/>
  <c r="ET125" i="3"/>
  <c r="FH125" i="3" s="1"/>
  <c r="DF125" i="3"/>
  <c r="AB125" i="3" s="1"/>
  <c r="EU125" i="3"/>
  <c r="FI125" i="3" s="1"/>
  <c r="DI125" i="3"/>
  <c r="AE125" i="3" s="1"/>
  <c r="EF117" i="3"/>
  <c r="EL117" i="3"/>
  <c r="DE113" i="3"/>
  <c r="AA113" i="3" s="1"/>
  <c r="T113" i="3" s="1"/>
  <c r="DH113" i="3"/>
  <c r="AD113" i="3" s="1"/>
  <c r="EF113" i="3"/>
  <c r="EL113" i="3"/>
  <c r="DH119" i="3"/>
  <c r="AD119" i="3" s="1"/>
  <c r="DE119" i="3"/>
  <c r="AA119" i="3" s="1"/>
  <c r="T119" i="3" s="1"/>
  <c r="DF119" i="3"/>
  <c r="AB119" i="3" s="1"/>
  <c r="ET119" i="3"/>
  <c r="FH119" i="3" s="1"/>
  <c r="EU119" i="3"/>
  <c r="FI119" i="3" s="1"/>
  <c r="DI119" i="3"/>
  <c r="AE119" i="3" s="1"/>
  <c r="EF119" i="3"/>
  <c r="EL119" i="3"/>
  <c r="CP99" i="3"/>
  <c r="FR99" i="3"/>
  <c r="FK99" i="3" s="1"/>
  <c r="FS99" i="3"/>
  <c r="FL99" i="3" s="1"/>
  <c r="FU99" i="3"/>
  <c r="FN99" i="3" s="1"/>
  <c r="CQ99" i="3"/>
  <c r="FV99" i="3"/>
  <c r="FO99" i="3" s="1"/>
  <c r="DF118" i="3"/>
  <c r="AB118" i="3" s="1"/>
  <c r="DI118" i="3"/>
  <c r="AE118" i="3" s="1"/>
  <c r="FS107" i="3"/>
  <c r="FL107" i="3" s="1"/>
  <c r="FR107" i="3"/>
  <c r="FK107" i="3" s="1"/>
  <c r="FP107" i="3" s="1"/>
  <c r="R107" i="3" s="1"/>
  <c r="CP107" i="3"/>
  <c r="CR98" i="3"/>
  <c r="CS98" i="3"/>
  <c r="DF112" i="3"/>
  <c r="AB112" i="3" s="1"/>
  <c r="DI112" i="3"/>
  <c r="AE112" i="3" s="1"/>
  <c r="DE112" i="3"/>
  <c r="AA112" i="3" s="1"/>
  <c r="T112" i="3" s="1"/>
  <c r="DH112" i="3"/>
  <c r="AD112" i="3" s="1"/>
  <c r="DH118" i="3"/>
  <c r="AD118" i="3" s="1"/>
  <c r="DE118" i="3"/>
  <c r="AA118" i="3" s="1"/>
  <c r="T118" i="3" s="1"/>
  <c r="CQ107" i="3"/>
  <c r="FU107" i="3"/>
  <c r="FN107" i="3" s="1"/>
  <c r="FV107" i="3"/>
  <c r="FO107" i="3" s="1"/>
  <c r="AL105" i="3"/>
  <c r="AM105" i="3" s="1"/>
  <c r="DJ104" i="3"/>
  <c r="AF104" i="3" s="1"/>
  <c r="DG104" i="3"/>
  <c r="AC104" i="3" s="1"/>
  <c r="DJ106" i="3"/>
  <c r="AF106" i="3" s="1"/>
  <c r="DG106" i="3"/>
  <c r="AC106" i="3" s="1"/>
  <c r="U105" i="3"/>
  <c r="ET106" i="3"/>
  <c r="FH106" i="3" s="1"/>
  <c r="EU106" i="3"/>
  <c r="FI106" i="3" s="1"/>
  <c r="DI104" i="3"/>
  <c r="AE104" i="3" s="1"/>
  <c r="EU104" i="3"/>
  <c r="FI104" i="3" s="1"/>
  <c r="ET104" i="3"/>
  <c r="FH104" i="3" s="1"/>
  <c r="ER104" i="3"/>
  <c r="ES104" i="3"/>
  <c r="DI106" i="3"/>
  <c r="AE106" i="3" s="1"/>
  <c r="DF106" i="3"/>
  <c r="AB106" i="3" s="1"/>
  <c r="DE104" i="3"/>
  <c r="AA104" i="3" s="1"/>
  <c r="T104" i="3" s="1"/>
  <c r="DH104" i="3"/>
  <c r="AD104" i="3" s="1"/>
  <c r="DH106" i="3"/>
  <c r="AD106" i="3" s="1"/>
  <c r="DE106" i="3"/>
  <c r="AA106" i="3" s="1"/>
  <c r="CY322" i="3"/>
  <c r="CY321" i="3" s="1"/>
  <c r="DD321" i="3" s="1"/>
  <c r="DC15" i="3"/>
  <c r="AF15" i="3" s="1"/>
  <c r="DY15" i="3"/>
  <c r="EA15" i="3" s="1"/>
  <c r="CY317" i="3"/>
  <c r="CY316" i="3" s="1"/>
  <c r="DD316" i="3" s="1"/>
  <c r="DY13" i="3"/>
  <c r="EA13" i="3" s="1"/>
  <c r="DB321" i="3"/>
  <c r="DB316" i="3"/>
  <c r="Y10" i="3"/>
  <c r="CZ309" i="3"/>
  <c r="CZ308" i="3" s="1"/>
  <c r="CY309" i="3"/>
  <c r="CY308" i="3" s="1"/>
  <c r="DD308" i="3" s="1"/>
  <c r="DC309" i="3"/>
  <c r="DC308" i="3" s="1"/>
  <c r="DB309" i="3"/>
  <c r="DB308" i="3" s="1"/>
  <c r="AF36" i="3"/>
  <c r="DB356" i="3"/>
  <c r="DC356" i="3"/>
  <c r="CS427" i="3"/>
  <c r="CS424" i="3"/>
  <c r="CU427" i="3"/>
  <c r="CU424" i="3"/>
  <c r="DF8" i="3"/>
  <c r="CZ8" i="3" s="1"/>
  <c r="DF18" i="3"/>
  <c r="CZ18" i="3" s="1"/>
  <c r="AC18" i="3" s="1"/>
  <c r="CZ17" i="3"/>
  <c r="AC17" i="3" s="1"/>
  <c r="DA91" i="3"/>
  <c r="P91" i="3" s="1"/>
  <c r="CV256" i="3"/>
  <c r="CV253" i="3"/>
  <c r="CU254" i="3"/>
  <c r="CU255" i="3" s="1"/>
  <c r="DC29" i="3"/>
  <c r="AF29" i="3" s="1"/>
  <c r="DY17" i="3"/>
  <c r="EA17" i="3" s="1"/>
  <c r="AD17" i="3"/>
  <c r="DC73" i="3"/>
  <c r="DA73" i="3" s="1"/>
  <c r="P73" i="3" s="1"/>
  <c r="CT100" i="3"/>
  <c r="X100" i="3" s="1"/>
  <c r="Y100" i="3" s="1"/>
  <c r="DG100" i="3" s="1"/>
  <c r="AC100" i="3" s="1"/>
  <c r="CZ36" i="3"/>
  <c r="AC36" i="3" s="1"/>
  <c r="EF127" i="3"/>
  <c r="DZ77" i="3"/>
  <c r="DZ76" i="3"/>
  <c r="DZ126" i="3" s="1"/>
  <c r="EF126" i="3"/>
  <c r="AL123" i="3"/>
  <c r="AM123" i="3" s="1"/>
  <c r="DK100" i="3"/>
  <c r="DH100" i="3" s="1"/>
  <c r="AD100" i="3" s="1"/>
  <c r="DL98" i="3"/>
  <c r="DI98" i="3" s="1"/>
  <c r="AE98" i="3" s="1"/>
  <c r="DK98" i="3"/>
  <c r="ES98" i="3" s="1"/>
  <c r="EU100" i="3"/>
  <c r="FI100" i="3" s="1"/>
  <c r="DF100" i="3"/>
  <c r="AB100" i="3" s="1"/>
  <c r="DI100" i="3"/>
  <c r="AE100" i="3" s="1"/>
  <c r="DH98" i="3"/>
  <c r="AD98" i="3" s="1"/>
  <c r="DG20" i="3"/>
  <c r="DA20" i="3" s="1"/>
  <c r="AD20" i="3" s="1"/>
  <c r="DY21" i="3"/>
  <c r="EA21" i="3" s="1"/>
  <c r="DY29" i="3"/>
  <c r="EA29" i="3" s="1"/>
  <c r="DC38" i="3"/>
  <c r="DY33" i="3"/>
  <c r="EA33" i="3" s="1"/>
  <c r="DV77" i="3"/>
  <c r="DV127" i="3" s="1"/>
  <c r="DW77" i="3"/>
  <c r="DW127" i="3" s="1"/>
  <c r="AL98" i="3"/>
  <c r="AM98" i="3" s="1"/>
  <c r="DA93" i="3"/>
  <c r="P93" i="3" s="1"/>
  <c r="CY93" i="3"/>
  <c r="N93" i="3" s="1"/>
  <c r="Q93" i="3"/>
  <c r="O93" i="3"/>
  <c r="L77" i="3"/>
  <c r="R74" i="3"/>
  <c r="R75" i="3"/>
  <c r="DC25" i="3"/>
  <c r="AF25" i="3" s="1"/>
  <c r="DY25" i="3"/>
  <c r="EA25" i="3" s="1"/>
  <c r="CZ346" i="3"/>
  <c r="CZ345" i="3" s="1"/>
  <c r="DY37" i="3"/>
  <c r="EA37" i="3" s="1"/>
  <c r="DW76" i="3"/>
  <c r="DW126" i="3" s="1"/>
  <c r="DV76" i="3"/>
  <c r="DV126" i="3" s="1"/>
  <c r="DF20" i="3"/>
  <c r="CZ20" i="3" s="1"/>
  <c r="AC20" i="3" s="1"/>
  <c r="R91" i="3"/>
  <c r="CZ73" i="3"/>
  <c r="O73" i="3" s="1"/>
  <c r="DB73" i="3"/>
  <c r="Q73" i="3" s="1"/>
  <c r="DC37" i="3"/>
  <c r="DY11" i="3"/>
  <c r="EA11" i="3" s="1"/>
  <c r="CT256" i="3"/>
  <c r="CS254" i="3"/>
  <c r="CS255" i="3" s="1"/>
  <c r="CT253" i="3"/>
  <c r="DD85" i="3"/>
  <c r="DC85" i="3"/>
  <c r="CY85" i="3" s="1"/>
  <c r="DC86" i="3"/>
  <c r="DD86" i="3"/>
  <c r="DD83" i="3"/>
  <c r="DC83" i="3"/>
  <c r="CY83" i="3" s="1"/>
  <c r="DC84" i="3"/>
  <c r="DD84" i="3"/>
  <c r="DD81" i="3"/>
  <c r="DC81" i="3"/>
  <c r="CY81" i="3" s="1"/>
  <c r="DC82" i="3"/>
  <c r="DD82" i="3"/>
  <c r="DC23" i="3"/>
  <c r="AF23" i="3" s="1"/>
  <c r="DY23" i="3"/>
  <c r="EA23" i="3" s="1"/>
  <c r="AD19" i="3"/>
  <c r="AG19" i="3"/>
  <c r="DY19" i="3"/>
  <c r="EA19" i="3" s="1"/>
  <c r="CZ334" i="3"/>
  <c r="CZ333" i="3" s="1"/>
  <c r="DC31" i="3"/>
  <c r="AF31" i="3" s="1"/>
  <c r="DY31" i="3"/>
  <c r="EA31" i="3" s="1"/>
  <c r="DC27" i="3"/>
  <c r="AF27" i="3" s="1"/>
  <c r="DY27" i="3"/>
  <c r="EA27" i="3" s="1"/>
  <c r="DY41" i="3"/>
  <c r="EA41" i="3" s="1"/>
  <c r="CU207" i="3"/>
  <c r="CU208" i="3" s="1"/>
  <c r="CV209" i="3"/>
  <c r="CV206" i="3"/>
  <c r="CT163" i="3"/>
  <c r="CS161" i="3"/>
  <c r="CS162" i="3" s="1"/>
  <c r="CT160" i="3"/>
  <c r="CS215" i="3"/>
  <c r="CS216" i="3" s="1"/>
  <c r="CT217" i="3"/>
  <c r="CT214" i="3"/>
  <c r="CV161" i="3"/>
  <c r="CU159" i="3"/>
  <c r="CU160" i="3" s="1"/>
  <c r="CV158" i="3"/>
  <c r="AG23" i="3"/>
  <c r="AG39" i="3"/>
  <c r="DY39" i="3"/>
  <c r="EA39" i="3" s="1"/>
  <c r="AD39" i="3"/>
  <c r="CZ39" i="3"/>
  <c r="AC39" i="3" s="1"/>
  <c r="DC39" i="3"/>
  <c r="AD37" i="3"/>
  <c r="CZ37" i="3"/>
  <c r="AC37" i="3" s="1"/>
  <c r="DF12" i="3"/>
  <c r="CZ12" i="3" s="1"/>
  <c r="AC12" i="3" s="1"/>
  <c r="DY35" i="3"/>
  <c r="EA35" i="3" s="1"/>
  <c r="DC35" i="3"/>
  <c r="AF35" i="3" s="1"/>
  <c r="N34" i="3"/>
  <c r="AD35" i="3"/>
  <c r="CZ33" i="3"/>
  <c r="AC33" i="3" s="1"/>
  <c r="DC33" i="3"/>
  <c r="AF33" i="3" s="1"/>
  <c r="CY314" i="3"/>
  <c r="CY313" i="3" s="1"/>
  <c r="DD313" i="3" s="1"/>
  <c r="DC28" i="3"/>
  <c r="AF28" i="3" s="1"/>
  <c r="CZ28" i="3"/>
  <c r="AC28" i="3" s="1"/>
  <c r="AD29" i="3"/>
  <c r="DA28" i="3"/>
  <c r="AD28" i="3" s="1"/>
  <c r="DD28" i="3"/>
  <c r="CZ29" i="3"/>
  <c r="AC29" i="3" s="1"/>
  <c r="DC26" i="3"/>
  <c r="AF26" i="3" s="1"/>
  <c r="CZ26" i="3"/>
  <c r="AC26" i="3" s="1"/>
  <c r="AD27" i="3"/>
  <c r="DA26" i="3"/>
  <c r="AD26" i="3" s="1"/>
  <c r="DD26" i="3"/>
  <c r="CZ27" i="3"/>
  <c r="AC27" i="3" s="1"/>
  <c r="DC24" i="3"/>
  <c r="AF24" i="3" s="1"/>
  <c r="CZ24" i="3"/>
  <c r="AC24" i="3" s="1"/>
  <c r="AD25" i="3"/>
  <c r="DA24" i="3"/>
  <c r="AD24" i="3" s="1"/>
  <c r="DD24" i="3"/>
  <c r="AG24" i="3" s="1"/>
  <c r="CZ25" i="3"/>
  <c r="AC25" i="3" s="1"/>
  <c r="DC22" i="3"/>
  <c r="AF22" i="3" s="1"/>
  <c r="CZ22" i="3"/>
  <c r="AC22" i="3" s="1"/>
  <c r="AD23" i="3"/>
  <c r="DA22" i="3"/>
  <c r="AD22" i="3" s="1"/>
  <c r="DD22" i="3"/>
  <c r="AG22" i="3" s="1"/>
  <c r="CZ23" i="3"/>
  <c r="AC23" i="3" s="1"/>
  <c r="DX80" i="3"/>
  <c r="EJ80" i="3" s="1"/>
  <c r="CZ31" i="3"/>
  <c r="DD30" i="3"/>
  <c r="DA30" i="3"/>
  <c r="DC30" i="3"/>
  <c r="AF30" i="3" s="1"/>
  <c r="CZ30" i="3"/>
  <c r="DC21" i="3"/>
  <c r="CZ21" i="3"/>
  <c r="AC21" i="3" s="1"/>
  <c r="DF14" i="3"/>
  <c r="DC14" i="3" s="1"/>
  <c r="AF14" i="3" s="1"/>
  <c r="CZ16" i="3"/>
  <c r="AC16" i="3" s="1"/>
  <c r="DA16" i="3"/>
  <c r="DD16" i="3"/>
  <c r="AG16" i="3" s="1"/>
  <c r="CZ15" i="3"/>
  <c r="AC15" i="3" s="1"/>
  <c r="DA14" i="3"/>
  <c r="AD14" i="3" s="1"/>
  <c r="DA18" i="3"/>
  <c r="AD18" i="3" s="1"/>
  <c r="DD18" i="3"/>
  <c r="AG18" i="3" s="1"/>
  <c r="CZ13" i="3"/>
  <c r="AC13" i="3" s="1"/>
  <c r="DC13" i="3"/>
  <c r="AF13" i="3" s="1"/>
  <c r="AD13" i="3"/>
  <c r="DA12" i="3"/>
  <c r="AD12" i="3" s="1"/>
  <c r="DD12" i="3"/>
  <c r="AG12" i="3" s="1"/>
  <c r="DD10" i="3"/>
  <c r="AG10" i="3" s="1"/>
  <c r="DA10" i="3"/>
  <c r="AD10" i="3" s="1"/>
  <c r="CZ10" i="3"/>
  <c r="AC10" i="3" s="1"/>
  <c r="DC10" i="3"/>
  <c r="AF10" i="3" s="1"/>
  <c r="AC31" i="3"/>
  <c r="AD21" i="3"/>
  <c r="BH94" i="14" l="1"/>
  <c r="CU90" i="14"/>
  <c r="BH93" i="14"/>
  <c r="BH62" i="15"/>
  <c r="CU58" i="15"/>
  <c r="CS74" i="15"/>
  <c r="BE78" i="15"/>
  <c r="BE77" i="15"/>
  <c r="CS82" i="14"/>
  <c r="BE86" i="14"/>
  <c r="CS66" i="14"/>
  <c r="BE70" i="14"/>
  <c r="BH86" i="15"/>
  <c r="CU82" i="15"/>
  <c r="CS74" i="14"/>
  <c r="BE78" i="14"/>
  <c r="BH70" i="14"/>
  <c r="CU66" i="14"/>
  <c r="BF93" i="14"/>
  <c r="CP90" i="14"/>
  <c r="CT91" i="14"/>
  <c r="CU74" i="15"/>
  <c r="BH78" i="15"/>
  <c r="BH77" i="15"/>
  <c r="BE93" i="14"/>
  <c r="CS90" i="14"/>
  <c r="BE94" i="14"/>
  <c r="AM57" i="14"/>
  <c r="BM62" i="14"/>
  <c r="AC89" i="15"/>
  <c r="BN93" i="15"/>
  <c r="BN94" i="15" s="1"/>
  <c r="BW89" i="15"/>
  <c r="BJ94" i="15"/>
  <c r="BJ93" i="15"/>
  <c r="BW90" i="15"/>
  <c r="CT74" i="15"/>
  <c r="BN69" i="15"/>
  <c r="BJ70" i="15"/>
  <c r="BJ69" i="15"/>
  <c r="BW66" i="15"/>
  <c r="BM85" i="14"/>
  <c r="BV82" i="14"/>
  <c r="BG86" i="14"/>
  <c r="BG85" i="14"/>
  <c r="V81" i="14" s="1"/>
  <c r="DF124" i="3"/>
  <c r="AB124" i="3" s="1"/>
  <c r="M97" i="18"/>
  <c r="M99" i="18" s="1"/>
  <c r="CT82" i="14"/>
  <c r="CS90" i="15"/>
  <c r="BE94" i="15"/>
  <c r="CR74" i="15"/>
  <c r="CV75" i="15"/>
  <c r="BI77" i="15"/>
  <c r="BJ61" i="15"/>
  <c r="BJ62" i="15"/>
  <c r="BN61" i="15"/>
  <c r="BN62" i="15" s="1"/>
  <c r="BW58" i="15"/>
  <c r="CS58" i="14"/>
  <c r="BE62" i="14"/>
  <c r="CR66" i="14"/>
  <c r="CV67" i="14"/>
  <c r="BH70" i="15"/>
  <c r="CU66" i="15"/>
  <c r="BE62" i="15"/>
  <c r="CS58" i="15"/>
  <c r="BH86" i="14"/>
  <c r="CU82" i="14"/>
  <c r="CV90" i="14"/>
  <c r="CU58" i="14"/>
  <c r="BH62" i="14"/>
  <c r="BN85" i="15"/>
  <c r="BJ85" i="15"/>
  <c r="V81" i="15" s="1"/>
  <c r="BJ86" i="15"/>
  <c r="BW82" i="15"/>
  <c r="BM61" i="15"/>
  <c r="BG61" i="15"/>
  <c r="BG62" i="15"/>
  <c r="BV58" i="15"/>
  <c r="CU90" i="15"/>
  <c r="BH94" i="15"/>
  <c r="BE86" i="15"/>
  <c r="CS82" i="15"/>
  <c r="CT66" i="14"/>
  <c r="Z89" i="15"/>
  <c r="BM93" i="15"/>
  <c r="BV89" i="15"/>
  <c r="BG93" i="15"/>
  <c r="BV90" i="15"/>
  <c r="BG94" i="15"/>
  <c r="BH78" i="14"/>
  <c r="CU74" i="14"/>
  <c r="BE70" i="15"/>
  <c r="CS66" i="15"/>
  <c r="DY126" i="3"/>
  <c r="DS76" i="3"/>
  <c r="DS126" i="3" s="1"/>
  <c r="AC30" i="3"/>
  <c r="N30" i="3" s="1"/>
  <c r="K44" i="18"/>
  <c r="K45" i="18" s="1"/>
  <c r="K46" i="18" s="1"/>
  <c r="AD30" i="3"/>
  <c r="K47" i="18"/>
  <c r="K49" i="18" s="1"/>
  <c r="AD8" i="3"/>
  <c r="FQ56" i="3"/>
  <c r="FN57" i="3"/>
  <c r="FM66" i="3"/>
  <c r="FP65" i="3"/>
  <c r="FP66" i="3" s="1"/>
  <c r="FP56" i="3"/>
  <c r="FP57" i="3" s="1"/>
  <c r="FM57" i="3"/>
  <c r="FQ65" i="3"/>
  <c r="FN66" i="3"/>
  <c r="BI86" i="14"/>
  <c r="CR83" i="14"/>
  <c r="CZ83" i="14" s="1"/>
  <c r="CM83" i="14" s="1"/>
  <c r="CZ82" i="14"/>
  <c r="CM82" i="14"/>
  <c r="N36" i="3"/>
  <c r="N47" i="18"/>
  <c r="N49" i="18" s="1"/>
  <c r="AD16" i="3"/>
  <c r="I47" i="18"/>
  <c r="I49" i="18" s="1"/>
  <c r="AC8" i="3"/>
  <c r="CU40" i="14"/>
  <c r="CU42" i="14" s="1"/>
  <c r="CR40" i="14"/>
  <c r="CR42" i="14" s="1"/>
  <c r="CG42" i="14" s="1"/>
  <c r="CQ40" i="14"/>
  <c r="CQ42" i="14" s="1"/>
  <c r="CF42" i="14" s="1"/>
  <c r="CT40" i="14"/>
  <c r="CT42" i="14" s="1"/>
  <c r="CJ39" i="14"/>
  <c r="CM82" i="15"/>
  <c r="CZ82" i="15"/>
  <c r="CP83" i="15"/>
  <c r="CX83" i="15" s="1"/>
  <c r="CK83" i="15" s="1"/>
  <c r="CR83" i="15"/>
  <c r="CZ83" i="15" s="1"/>
  <c r="CM83" i="15" s="1"/>
  <c r="BI86" i="15"/>
  <c r="CK82" i="15"/>
  <c r="CX82" i="15"/>
  <c r="CR67" i="15"/>
  <c r="CZ67" i="15" s="1"/>
  <c r="CM67" i="15" s="1"/>
  <c r="BI70" i="15"/>
  <c r="CK66" i="15"/>
  <c r="CX66" i="15"/>
  <c r="CM66" i="15"/>
  <c r="CZ66" i="15"/>
  <c r="CP67" i="15"/>
  <c r="CX67" i="15" s="1"/>
  <c r="CK67" i="15" s="1"/>
  <c r="CQ34" i="14"/>
  <c r="CQ36" i="14" s="1"/>
  <c r="CF36" i="14" s="1"/>
  <c r="CJ33" i="14" s="1"/>
  <c r="CT34" i="14"/>
  <c r="CT36" i="14" s="1"/>
  <c r="CU34" i="14"/>
  <c r="CU36" i="14" s="1"/>
  <c r="CR34" i="14"/>
  <c r="CR36" i="14" s="1"/>
  <c r="CG36" i="14" s="1"/>
  <c r="CK33" i="14" s="1"/>
  <c r="CT28" i="14"/>
  <c r="CT30" i="14" s="1"/>
  <c r="CQ28" i="14"/>
  <c r="CQ30" i="14" s="1"/>
  <c r="CF30" i="14" s="1"/>
  <c r="CJ27" i="14" s="1"/>
  <c r="DG66" i="14"/>
  <c r="CX90" i="15"/>
  <c r="CK90" i="15"/>
  <c r="BI94" i="15"/>
  <c r="CR91" i="15"/>
  <c r="CZ91" i="15" s="1"/>
  <c r="CM91" i="15" s="1"/>
  <c r="CP91" i="15"/>
  <c r="CX91" i="15" s="1"/>
  <c r="CK91" i="15" s="1"/>
  <c r="CM90" i="15"/>
  <c r="CZ90" i="15"/>
  <c r="AY438" i="14"/>
  <c r="AT438" i="14" s="1"/>
  <c r="AT437" i="14"/>
  <c r="F20" i="18"/>
  <c r="F21" i="18"/>
  <c r="F364" i="18"/>
  <c r="F365" i="18"/>
  <c r="BF28" i="14"/>
  <c r="AY28" i="14" s="1"/>
  <c r="BI31" i="14"/>
  <c r="BB27" i="14"/>
  <c r="CH27" i="14"/>
  <c r="CL27" i="14" s="1"/>
  <c r="BI78" i="14"/>
  <c r="CR75" i="14"/>
  <c r="CZ75" i="14" s="1"/>
  <c r="CM75" i="14" s="1"/>
  <c r="BF28" i="15"/>
  <c r="AY28" i="15" s="1"/>
  <c r="CJ28" i="15" s="1"/>
  <c r="BI31" i="15"/>
  <c r="CH40" i="14"/>
  <c r="DE73" i="14"/>
  <c r="DH73" i="14"/>
  <c r="DF89" i="15"/>
  <c r="DI89" i="15"/>
  <c r="DI90" i="15" s="1"/>
  <c r="DH73" i="15"/>
  <c r="DE73" i="15"/>
  <c r="CH40" i="15"/>
  <c r="CL40" i="15" s="1"/>
  <c r="BB40" i="15"/>
  <c r="BI43" i="15"/>
  <c r="BF40" i="15"/>
  <c r="AY40" i="15" s="1"/>
  <c r="CJ40" i="15" s="1"/>
  <c r="CH28" i="14"/>
  <c r="CL28" i="14" s="1"/>
  <c r="BB28" i="14"/>
  <c r="CP75" i="14"/>
  <c r="CX75" i="14" s="1"/>
  <c r="CK75" i="14" s="1"/>
  <c r="BB22" i="14"/>
  <c r="CH22" i="14"/>
  <c r="CL22" i="14" s="1"/>
  <c r="DE89" i="14"/>
  <c r="DH89" i="14"/>
  <c r="BB28" i="15"/>
  <c r="CH28" i="15"/>
  <c r="CL28" i="15" s="1"/>
  <c r="DF65" i="15"/>
  <c r="DI65" i="15"/>
  <c r="DI66" i="15" s="1"/>
  <c r="DE81" i="14"/>
  <c r="DH81" i="14"/>
  <c r="DI65" i="14"/>
  <c r="DI66" i="14" s="1"/>
  <c r="DF65" i="14"/>
  <c r="DF81" i="15"/>
  <c r="DI81" i="15"/>
  <c r="DI82" i="15" s="1"/>
  <c r="BB39" i="15"/>
  <c r="CH39" i="15"/>
  <c r="CL39" i="15" s="1"/>
  <c r="CT34" i="15"/>
  <c r="CT36" i="15" s="1"/>
  <c r="CQ34" i="15"/>
  <c r="CQ36" i="15" s="1"/>
  <c r="CF36" i="15" s="1"/>
  <c r="CJ33" i="15" s="1"/>
  <c r="BF34" i="15"/>
  <c r="AY34" i="15" s="1"/>
  <c r="BI37" i="15"/>
  <c r="CZ74" i="14"/>
  <c r="CM74" i="14"/>
  <c r="CH27" i="15"/>
  <c r="CL27" i="15" s="1"/>
  <c r="BB27" i="15"/>
  <c r="BB39" i="14"/>
  <c r="N39" i="14" s="1"/>
  <c r="CH39" i="14"/>
  <c r="DF73" i="14"/>
  <c r="DI73" i="14"/>
  <c r="DI74" i="14" s="1"/>
  <c r="DH89" i="15"/>
  <c r="DE89" i="15"/>
  <c r="BI25" i="15"/>
  <c r="BF22" i="15"/>
  <c r="AY22" i="15" s="1"/>
  <c r="CJ22" i="15" s="1"/>
  <c r="BB21" i="15"/>
  <c r="CH21" i="15"/>
  <c r="CL21" i="15" s="1"/>
  <c r="DI73" i="15"/>
  <c r="DI74" i="15" s="1"/>
  <c r="DF73" i="15"/>
  <c r="BB33" i="14"/>
  <c r="N33" i="14" s="1"/>
  <c r="BB33" i="15"/>
  <c r="N33" i="15" s="1"/>
  <c r="BB34" i="15"/>
  <c r="CK74" i="14"/>
  <c r="CX74" i="14"/>
  <c r="BF22" i="14"/>
  <c r="AY22" i="14" s="1"/>
  <c r="CJ22" i="14" s="1"/>
  <c r="BI25" i="14"/>
  <c r="DF89" i="14"/>
  <c r="DI89" i="14"/>
  <c r="DI90" i="14" s="1"/>
  <c r="BI43" i="14"/>
  <c r="BF40" i="14"/>
  <c r="AY40" i="14" s="1"/>
  <c r="CJ40" i="14" s="1"/>
  <c r="BI37" i="14"/>
  <c r="BF34" i="14"/>
  <c r="AY34" i="14" s="1"/>
  <c r="CJ34" i="14" s="1"/>
  <c r="CH34" i="14"/>
  <c r="DH65" i="15"/>
  <c r="DE65" i="15"/>
  <c r="DI81" i="14"/>
  <c r="DI82" i="14" s="1"/>
  <c r="DF81" i="14"/>
  <c r="BI19" i="15"/>
  <c r="BF16" i="15"/>
  <c r="AY16" i="15" s="1"/>
  <c r="BB16" i="15" s="1"/>
  <c r="BI19" i="14"/>
  <c r="BF16" i="14"/>
  <c r="AY16" i="14" s="1"/>
  <c r="BB16" i="14" s="1"/>
  <c r="DH65" i="14"/>
  <c r="DE65" i="14"/>
  <c r="DH81" i="15"/>
  <c r="DE81" i="15"/>
  <c r="CH22" i="15"/>
  <c r="CL22" i="15" s="1"/>
  <c r="BB22" i="15"/>
  <c r="CR34" i="15"/>
  <c r="CR36" i="15" s="1"/>
  <c r="CG36" i="15" s="1"/>
  <c r="CI33" i="15" s="1"/>
  <c r="CU34" i="15"/>
  <c r="CU36" i="15" s="1"/>
  <c r="DD15" i="3"/>
  <c r="DA15" i="3"/>
  <c r="AD15" i="3" s="1"/>
  <c r="AA8" i="3"/>
  <c r="CS8" i="3" s="1"/>
  <c r="CZ41" i="3"/>
  <c r="AC41" i="3" s="1"/>
  <c r="DC41" i="3"/>
  <c r="AF41" i="3" s="1"/>
  <c r="EF125" i="3"/>
  <c r="EL125" i="3"/>
  <c r="CH15" i="14"/>
  <c r="CJ15" i="14"/>
  <c r="CJ16" i="14"/>
  <c r="CH16" i="14"/>
  <c r="CR58" i="15"/>
  <c r="CV59" i="15"/>
  <c r="CP58" i="14"/>
  <c r="CT59" i="14"/>
  <c r="BF62" i="14" s="1"/>
  <c r="DH60" i="15"/>
  <c r="DH61" i="15" s="1"/>
  <c r="DH58" i="15"/>
  <c r="DH60" i="14"/>
  <c r="DH61" i="14" s="1"/>
  <c r="DH58" i="14"/>
  <c r="CK58" i="15"/>
  <c r="CX58" i="15"/>
  <c r="BI62" i="14"/>
  <c r="CR59" i="14"/>
  <c r="CZ59" i="14" s="1"/>
  <c r="CM59" i="14" s="1"/>
  <c r="CI16" i="14"/>
  <c r="CK16" i="14"/>
  <c r="CI15" i="14"/>
  <c r="CK15" i="14"/>
  <c r="CJ15" i="15"/>
  <c r="CH16" i="15"/>
  <c r="CJ16" i="15"/>
  <c r="CH15" i="15"/>
  <c r="DE58" i="15"/>
  <c r="DE60" i="15"/>
  <c r="DE61" i="15" s="1"/>
  <c r="DE58" i="14"/>
  <c r="DE60" i="14"/>
  <c r="DE61" i="14" s="1"/>
  <c r="CP59" i="15"/>
  <c r="CX59" i="15" s="1"/>
  <c r="CK59" i="15" s="1"/>
  <c r="CZ58" i="14"/>
  <c r="CM58" i="14"/>
  <c r="ES124" i="3"/>
  <c r="EL124" i="3" s="1"/>
  <c r="U124" i="3"/>
  <c r="CY78" i="3"/>
  <c r="N78" i="3" s="1"/>
  <c r="R78" i="3" s="1"/>
  <c r="DA78" i="3"/>
  <c r="P78" i="3" s="1"/>
  <c r="U122" i="3"/>
  <c r="T124" i="3"/>
  <c r="U125" i="3"/>
  <c r="T122" i="3"/>
  <c r="EK124" i="3"/>
  <c r="T125" i="3"/>
  <c r="EL122" i="3"/>
  <c r="EK122" i="3"/>
  <c r="DG32" i="3"/>
  <c r="EI32" i="3"/>
  <c r="EJ32" i="3"/>
  <c r="DD33" i="3"/>
  <c r="AG33" i="3" s="1"/>
  <c r="DA33" i="3"/>
  <c r="AD33" i="3" s="1"/>
  <c r="DD31" i="3"/>
  <c r="DA31" i="3"/>
  <c r="AD31" i="3" s="1"/>
  <c r="DD11" i="3"/>
  <c r="DA11" i="3"/>
  <c r="AD11" i="3" s="1"/>
  <c r="DJ98" i="3"/>
  <c r="AF98" i="3" s="1"/>
  <c r="DG98" i="3"/>
  <c r="AC98" i="3" s="1"/>
  <c r="BN24" i="14"/>
  <c r="BL24" i="14"/>
  <c r="BO25" i="14"/>
  <c r="BO24" i="14"/>
  <c r="BM24" i="14"/>
  <c r="AU25" i="14" s="1"/>
  <c r="AS24" i="14"/>
  <c r="DB86" i="3"/>
  <c r="DB85" i="3"/>
  <c r="CZ85" i="3"/>
  <c r="CZ86" i="3"/>
  <c r="O86" i="3" s="1"/>
  <c r="DB84" i="3"/>
  <c r="DB83" i="3"/>
  <c r="CZ83" i="3"/>
  <c r="O84" i="3"/>
  <c r="CZ84" i="3"/>
  <c r="DB82" i="3"/>
  <c r="DB81" i="3"/>
  <c r="CZ81" i="3"/>
  <c r="O82" i="3"/>
  <c r="CZ82" i="3"/>
  <c r="AG13" i="3"/>
  <c r="DD13" i="3"/>
  <c r="DD17" i="3"/>
  <c r="AG17" i="3" s="1"/>
  <c r="DD21" i="3"/>
  <c r="AG21" i="3" s="1"/>
  <c r="DD37" i="3"/>
  <c r="AG37" i="3" s="1"/>
  <c r="N37" i="3" s="1"/>
  <c r="AG35" i="3"/>
  <c r="DD35" i="3"/>
  <c r="DE98" i="3"/>
  <c r="AA98" i="3" s="1"/>
  <c r="DJ100" i="3"/>
  <c r="AF100" i="3" s="1"/>
  <c r="U100" i="3" s="1"/>
  <c r="DD8" i="3"/>
  <c r="AG8" i="3" s="1"/>
  <c r="DD14" i="3"/>
  <c r="AG14" i="3" s="1"/>
  <c r="ES100" i="3"/>
  <c r="EL100" i="3" s="1"/>
  <c r="S21" i="15"/>
  <c r="P21" i="15" s="1"/>
  <c r="CT344" i="3"/>
  <c r="CT390" i="3"/>
  <c r="CT391" i="3" s="1"/>
  <c r="CR344" i="3"/>
  <c r="CR390" i="3"/>
  <c r="CR391" i="3" s="1"/>
  <c r="CR345" i="3"/>
  <c r="CR439" i="3" s="1"/>
  <c r="CR440" i="3" s="1"/>
  <c r="CS344" i="3"/>
  <c r="CT345" i="3"/>
  <c r="CT439" i="3" s="1"/>
  <c r="CT440" i="3" s="1"/>
  <c r="CU344" i="3"/>
  <c r="N15" i="14"/>
  <c r="AI57" i="15"/>
  <c r="AI57" i="14"/>
  <c r="DG115" i="3"/>
  <c r="DJ109" i="3"/>
  <c r="DF98" i="3"/>
  <c r="AB98" i="3" s="1"/>
  <c r="DE115" i="3"/>
  <c r="S21" i="14"/>
  <c r="BS22" i="14" s="1"/>
  <c r="BS23" i="14" s="1"/>
  <c r="EE115" i="3"/>
  <c r="DK109" i="3"/>
  <c r="EC109" i="3"/>
  <c r="EK109" i="3"/>
  <c r="AW347" i="15"/>
  <c r="AR347" i="15" s="1"/>
  <c r="AR346" i="15"/>
  <c r="AZ347" i="15"/>
  <c r="AY348" i="15"/>
  <c r="AW439" i="15"/>
  <c r="AR439" i="15" s="1"/>
  <c r="AR438" i="15"/>
  <c r="AY439" i="15"/>
  <c r="AT439" i="15" s="1"/>
  <c r="AT438" i="15"/>
  <c r="AX347" i="15"/>
  <c r="AW348" i="15"/>
  <c r="AY347" i="15"/>
  <c r="AT347" i="15" s="1"/>
  <c r="AT346" i="15"/>
  <c r="AW395" i="15"/>
  <c r="AX394" i="15"/>
  <c r="AR393" i="15"/>
  <c r="AW394" i="15"/>
  <c r="AR394" i="15" s="1"/>
  <c r="AW440" i="15"/>
  <c r="AX442" i="15"/>
  <c r="AX439" i="15"/>
  <c r="AY395" i="15"/>
  <c r="AZ394" i="15"/>
  <c r="AT393" i="15"/>
  <c r="AY394" i="15"/>
  <c r="AT394" i="15" s="1"/>
  <c r="AY440" i="15"/>
  <c r="AZ442" i="15"/>
  <c r="AZ439" i="15"/>
  <c r="AY439" i="14"/>
  <c r="AZ441" i="14"/>
  <c r="AZ438" i="14"/>
  <c r="AW438" i="14"/>
  <c r="AR438" i="14" s="1"/>
  <c r="AR437" i="14"/>
  <c r="AW439" i="14"/>
  <c r="AX441" i="14"/>
  <c r="AX438" i="14"/>
  <c r="AY392" i="14"/>
  <c r="AZ394" i="14"/>
  <c r="AZ391" i="14"/>
  <c r="AW391" i="14"/>
  <c r="AR391" i="14" s="1"/>
  <c r="AR390" i="14"/>
  <c r="AY391" i="14"/>
  <c r="AT391" i="14" s="1"/>
  <c r="AT390" i="14"/>
  <c r="AW392" i="14"/>
  <c r="AX394" i="14"/>
  <c r="AX391" i="14"/>
  <c r="EG119" i="3"/>
  <c r="EH119" i="3" s="1"/>
  <c r="EI119" i="3"/>
  <c r="EJ119" i="3" s="1"/>
  <c r="EI113" i="3"/>
  <c r="EJ113" i="3" s="1"/>
  <c r="EG113" i="3"/>
  <c r="EH113" i="3" s="1"/>
  <c r="EG117" i="3"/>
  <c r="EH117" i="3" s="1"/>
  <c r="EI117" i="3"/>
  <c r="EJ117" i="3" s="1"/>
  <c r="EG123" i="3"/>
  <c r="EH123" i="3" s="1"/>
  <c r="EI123" i="3"/>
  <c r="EJ123" i="3" s="1"/>
  <c r="EI111" i="3"/>
  <c r="EJ111" i="3" s="1"/>
  <c r="EG111" i="3"/>
  <c r="EH111" i="3" s="1"/>
  <c r="DE32" i="3"/>
  <c r="AH32" i="3" s="1"/>
  <c r="DB32" i="3"/>
  <c r="AE32" i="3" s="1"/>
  <c r="DE36" i="3"/>
  <c r="DB36" i="3"/>
  <c r="CY356" i="3" s="1"/>
  <c r="DB28" i="3"/>
  <c r="DE28" i="3"/>
  <c r="DE26" i="3"/>
  <c r="DB26" i="3"/>
  <c r="DB24" i="3"/>
  <c r="DE24" i="3"/>
  <c r="DE22" i="3"/>
  <c r="DB22" i="3"/>
  <c r="DB35" i="3"/>
  <c r="ED35" i="3"/>
  <c r="EE35" i="3" s="1"/>
  <c r="EB35" i="3"/>
  <c r="EC35" i="3" s="1"/>
  <c r="DE35" i="3"/>
  <c r="ED41" i="3"/>
  <c r="EE41" i="3" s="1"/>
  <c r="EB41" i="3"/>
  <c r="EC41" i="3" s="1"/>
  <c r="DB23" i="3"/>
  <c r="ED23" i="3"/>
  <c r="EE23" i="3" s="1"/>
  <c r="EB23" i="3"/>
  <c r="EC23" i="3" s="1"/>
  <c r="DE23" i="3"/>
  <c r="ED11" i="3"/>
  <c r="EE11" i="3" s="1"/>
  <c r="EB11" i="3"/>
  <c r="EC11" i="3" s="1"/>
  <c r="ED37" i="3"/>
  <c r="EE37" i="3" s="1"/>
  <c r="EB37" i="3"/>
  <c r="EC37" i="3" s="1"/>
  <c r="DB25" i="3"/>
  <c r="ED25" i="3"/>
  <c r="EE25" i="3" s="1"/>
  <c r="EB25" i="3"/>
  <c r="EC25" i="3" s="1"/>
  <c r="DE25" i="3"/>
  <c r="DB33" i="3"/>
  <c r="ED33" i="3"/>
  <c r="EE33" i="3" s="1"/>
  <c r="EB33" i="3"/>
  <c r="EC33" i="3" s="1"/>
  <c r="DE33" i="3"/>
  <c r="ED15" i="3"/>
  <c r="EE15" i="3" s="1"/>
  <c r="EB15" i="3"/>
  <c r="EC15" i="3" s="1"/>
  <c r="DB39" i="3"/>
  <c r="ED39" i="3"/>
  <c r="EE39" i="3" s="1"/>
  <c r="EB39" i="3"/>
  <c r="EC39" i="3" s="1"/>
  <c r="DE39" i="3"/>
  <c r="ED27" i="3"/>
  <c r="EE27" i="3" s="1"/>
  <c r="EB27" i="3"/>
  <c r="DB31" i="3"/>
  <c r="ED31" i="3"/>
  <c r="EE31" i="3" s="1"/>
  <c r="EB31" i="3"/>
  <c r="EC31" i="3" s="1"/>
  <c r="DE31" i="3"/>
  <c r="ED19" i="3"/>
  <c r="EE19" i="3" s="1"/>
  <c r="EB19" i="3"/>
  <c r="DB29" i="3"/>
  <c r="ED29" i="3"/>
  <c r="EB29" i="3"/>
  <c r="EC29" i="3" s="1"/>
  <c r="DE29" i="3"/>
  <c r="ED21" i="3"/>
  <c r="EE21" i="3" s="1"/>
  <c r="EB21" i="3"/>
  <c r="EC21" i="3" s="1"/>
  <c r="ED17" i="3"/>
  <c r="EB17" i="3"/>
  <c r="EC17" i="3" s="1"/>
  <c r="ED13" i="3"/>
  <c r="EE13" i="3" s="1"/>
  <c r="EB13" i="3"/>
  <c r="EC13" i="3" s="1"/>
  <c r="DC17" i="3"/>
  <c r="AF17" i="3" s="1"/>
  <c r="N17" i="3" s="1"/>
  <c r="DE20" i="3"/>
  <c r="AH20" i="3" s="1"/>
  <c r="DB20" i="3"/>
  <c r="AE20" i="3" s="1"/>
  <c r="DE13" i="3"/>
  <c r="DB13" i="3"/>
  <c r="DE17" i="3"/>
  <c r="DB17" i="3"/>
  <c r="DE19" i="3"/>
  <c r="DB19" i="3"/>
  <c r="DE18" i="3"/>
  <c r="DB18" i="3"/>
  <c r="DE11" i="3"/>
  <c r="DB11" i="3"/>
  <c r="DE15" i="3"/>
  <c r="DB15" i="3"/>
  <c r="DE10" i="3"/>
  <c r="AH10" i="3" s="1"/>
  <c r="DB10" i="3"/>
  <c r="AE10" i="3" s="1"/>
  <c r="AS439" i="14"/>
  <c r="AS436" i="14"/>
  <c r="AU439" i="14"/>
  <c r="AU436" i="14"/>
  <c r="AU347" i="14"/>
  <c r="AU344" i="14"/>
  <c r="AS347" i="14"/>
  <c r="AS344" i="14"/>
  <c r="DC8" i="3"/>
  <c r="AF8" i="3" s="1"/>
  <c r="N8" i="3" s="1"/>
  <c r="DC18" i="3"/>
  <c r="AF18" i="3" s="1"/>
  <c r="DD20" i="3"/>
  <c r="AG20" i="3" s="1"/>
  <c r="DC12" i="3"/>
  <c r="AF12" i="3" s="1"/>
  <c r="AG15" i="3"/>
  <c r="CY347" i="3"/>
  <c r="CY346" i="3" s="1"/>
  <c r="CY345" i="3" s="1"/>
  <c r="DD345" i="3" s="1"/>
  <c r="CS107" i="3"/>
  <c r="CR107" i="3"/>
  <c r="Z99" i="3"/>
  <c r="CT107" i="3"/>
  <c r="X107" i="3" s="1"/>
  <c r="Y107" i="3" s="1"/>
  <c r="ED107" i="3"/>
  <c r="DL107" i="3"/>
  <c r="DK107" i="3"/>
  <c r="CS99" i="3"/>
  <c r="CR99" i="3"/>
  <c r="U106" i="3"/>
  <c r="U104" i="3"/>
  <c r="U107" i="3"/>
  <c r="T106" i="3"/>
  <c r="EL104" i="3"/>
  <c r="EK104" i="3"/>
  <c r="EU98" i="3"/>
  <c r="FI98" i="3" s="1"/>
  <c r="ET98" i="3"/>
  <c r="FH98" i="3" s="1"/>
  <c r="CZ35" i="3"/>
  <c r="AC35" i="3" s="1"/>
  <c r="N35" i="3" s="1"/>
  <c r="AG26" i="3"/>
  <c r="CY338" i="3"/>
  <c r="CY337" i="3" s="1"/>
  <c r="CY336" i="3" s="1"/>
  <c r="AF39" i="3"/>
  <c r="DC364" i="3"/>
  <c r="DB365" i="3"/>
  <c r="DB364" i="3" s="1"/>
  <c r="CY362" i="3"/>
  <c r="CZ352" i="3"/>
  <c r="CZ351" i="3" s="1"/>
  <c r="AF37" i="3"/>
  <c r="DC359" i="3"/>
  <c r="DC358" i="3" s="1"/>
  <c r="DB359" i="3"/>
  <c r="DB358" i="3" s="1"/>
  <c r="AF38" i="3"/>
  <c r="N38" i="3" s="1"/>
  <c r="DB362" i="3"/>
  <c r="CT349" i="3"/>
  <c r="CO322" i="3"/>
  <c r="CR349" i="3"/>
  <c r="CO320" i="3"/>
  <c r="AG25" i="3"/>
  <c r="CY335" i="3"/>
  <c r="CY334" i="3" s="1"/>
  <c r="CY333" i="3" s="1"/>
  <c r="DD333" i="3" s="1"/>
  <c r="AG29" i="3"/>
  <c r="AG30" i="3"/>
  <c r="CY350" i="3"/>
  <c r="CY349" i="3" s="1"/>
  <c r="CY348" i="3" s="1"/>
  <c r="DD348" i="3" s="1"/>
  <c r="AG28" i="3"/>
  <c r="CY344" i="3"/>
  <c r="CY343" i="3" s="1"/>
  <c r="CY342" i="3" s="1"/>
  <c r="CZ314" i="3"/>
  <c r="CZ313" i="3" s="1"/>
  <c r="DB314" i="3"/>
  <c r="DB313" i="3" s="1"/>
  <c r="DC314" i="3"/>
  <c r="DC313" i="3" s="1"/>
  <c r="CZ340" i="3"/>
  <c r="CZ339" i="3" s="1"/>
  <c r="DB37" i="3"/>
  <c r="CR396" i="3"/>
  <c r="CT396" i="3"/>
  <c r="CY312" i="3"/>
  <c r="CY311" i="3" s="1"/>
  <c r="DD311" i="3" s="1"/>
  <c r="CS429" i="3"/>
  <c r="CS426" i="3"/>
  <c r="CU429" i="3"/>
  <c r="CU426" i="3"/>
  <c r="DC20" i="3"/>
  <c r="EE17" i="3"/>
  <c r="CY73" i="3"/>
  <c r="N73" i="3" s="1"/>
  <c r="R73" i="3" s="1"/>
  <c r="CV255" i="3"/>
  <c r="CU256" i="3"/>
  <c r="CU257" i="3" s="1"/>
  <c r="CV258" i="3"/>
  <c r="EE29" i="3"/>
  <c r="DT76" i="3"/>
  <c r="DT126" i="3" s="1"/>
  <c r="EC27" i="3"/>
  <c r="DE100" i="3"/>
  <c r="AA100" i="3" s="1"/>
  <c r="T100" i="3" s="1"/>
  <c r="DZ127" i="3"/>
  <c r="DT77" i="3"/>
  <c r="DT127" i="3" s="1"/>
  <c r="EK100" i="3"/>
  <c r="U98" i="3"/>
  <c r="ER98" i="3"/>
  <c r="R93" i="3"/>
  <c r="DC77" i="3"/>
  <c r="DC127" i="3" s="1"/>
  <c r="DD77" i="3"/>
  <c r="DD127" i="3" s="1"/>
  <c r="DX76" i="3"/>
  <c r="DX126" i="3" s="1"/>
  <c r="CZ311" i="3"/>
  <c r="AF20" i="3"/>
  <c r="AF21" i="3"/>
  <c r="EK98" i="3"/>
  <c r="EL98" i="3"/>
  <c r="CZ14" i="3"/>
  <c r="AC14" i="3" s="1"/>
  <c r="N14" i="3" s="1"/>
  <c r="AG11" i="3"/>
  <c r="CZ11" i="3"/>
  <c r="AC11" i="3" s="1"/>
  <c r="DC11" i="3"/>
  <c r="AF11" i="3" s="1"/>
  <c r="CT258" i="3"/>
  <c r="CS256" i="3"/>
  <c r="CS257" i="3" s="1"/>
  <c r="CT255" i="3"/>
  <c r="DB27" i="3"/>
  <c r="CY86" i="3"/>
  <c r="N86" i="3" s="1"/>
  <c r="DA86" i="3"/>
  <c r="P86" i="3" s="1"/>
  <c r="O85" i="3"/>
  <c r="Q86" i="3"/>
  <c r="Q85" i="3"/>
  <c r="DA85" i="3"/>
  <c r="P85" i="3" s="1"/>
  <c r="N85" i="3"/>
  <c r="CY84" i="3"/>
  <c r="N84" i="3" s="1"/>
  <c r="DA84" i="3"/>
  <c r="P84" i="3" s="1"/>
  <c r="O83" i="3"/>
  <c r="Q84" i="3"/>
  <c r="Q83" i="3"/>
  <c r="DA83" i="3"/>
  <c r="P83" i="3" s="1"/>
  <c r="N83" i="3"/>
  <c r="CY82" i="3"/>
  <c r="N82" i="3" s="1"/>
  <c r="DA82" i="3"/>
  <c r="P82" i="3" s="1"/>
  <c r="O81" i="3"/>
  <c r="Q82" i="3"/>
  <c r="Q81" i="3"/>
  <c r="DA81" i="3"/>
  <c r="P81" i="3" s="1"/>
  <c r="N81" i="3"/>
  <c r="EC19" i="3"/>
  <c r="CZ19" i="3"/>
  <c r="AC19" i="3" s="1"/>
  <c r="DC19" i="3"/>
  <c r="AF19" i="3" s="1"/>
  <c r="CV160" i="3"/>
  <c r="CU161" i="3"/>
  <c r="CU162" i="3" s="1"/>
  <c r="CV163" i="3"/>
  <c r="CT219" i="3"/>
  <c r="CS217" i="3"/>
  <c r="CS218" i="3" s="1"/>
  <c r="CT216" i="3"/>
  <c r="CT162" i="3"/>
  <c r="CS163" i="3"/>
  <c r="CS164" i="3" s="1"/>
  <c r="CT165" i="3"/>
  <c r="CU209" i="3"/>
  <c r="CU210" i="3" s="1"/>
  <c r="CV211" i="3"/>
  <c r="CV208" i="3"/>
  <c r="DC355" i="3"/>
  <c r="DC354" i="3" s="1"/>
  <c r="N39" i="3"/>
  <c r="N20" i="3"/>
  <c r="N25" i="3"/>
  <c r="N29" i="3"/>
  <c r="N33" i="3"/>
  <c r="N23" i="3"/>
  <c r="N28" i="3"/>
  <c r="N26" i="3"/>
  <c r="N24" i="3"/>
  <c r="N22" i="3"/>
  <c r="N16" i="3"/>
  <c r="N15" i="3"/>
  <c r="N18" i="3"/>
  <c r="N12" i="3"/>
  <c r="N13" i="3"/>
  <c r="L80" i="3"/>
  <c r="L79" i="3"/>
  <c r="N10" i="3"/>
  <c r="CO66" i="15" l="1"/>
  <c r="CS67" i="15"/>
  <c r="CO67" i="15" s="1"/>
  <c r="CW67" i="15" s="1"/>
  <c r="CJ67" i="15" s="1"/>
  <c r="AM89" i="15"/>
  <c r="BM94" i="15"/>
  <c r="CU59" i="14"/>
  <c r="CQ59" i="14" s="1"/>
  <c r="CY59" i="14" s="1"/>
  <c r="CL59" i="14" s="1"/>
  <c r="CQ58" i="14"/>
  <c r="CO58" i="15"/>
  <c r="CS59" i="15"/>
  <c r="CO59" i="15" s="1"/>
  <c r="CW59" i="15" s="1"/>
  <c r="CJ59" i="15" s="1"/>
  <c r="BI70" i="14"/>
  <c r="CR67" i="14"/>
  <c r="CZ67" i="14" s="1"/>
  <c r="CM67" i="14" s="1"/>
  <c r="CO90" i="15"/>
  <c r="CS91" i="15"/>
  <c r="CO91" i="15" s="1"/>
  <c r="CW91" i="15" s="1"/>
  <c r="CJ91" i="15" s="1"/>
  <c r="CN91" i="15" s="1"/>
  <c r="BF77" i="15"/>
  <c r="CP74" i="15"/>
  <c r="CT75" i="15"/>
  <c r="CK90" i="14"/>
  <c r="CX90" i="14"/>
  <c r="CN67" i="15"/>
  <c r="CV91" i="14"/>
  <c r="BI93" i="14"/>
  <c r="CR90" i="14"/>
  <c r="CM66" i="14"/>
  <c r="CZ66" i="14"/>
  <c r="BI78" i="15"/>
  <c r="CR75" i="15"/>
  <c r="CZ75" i="15" s="1"/>
  <c r="CM75" i="15" s="1"/>
  <c r="CT83" i="14"/>
  <c r="CP82" i="14"/>
  <c r="CS75" i="14"/>
  <c r="CO75" i="14" s="1"/>
  <c r="CW75" i="14" s="1"/>
  <c r="CJ75" i="14" s="1"/>
  <c r="CN75" i="14" s="1"/>
  <c r="CO74" i="14"/>
  <c r="CO66" i="14"/>
  <c r="CS67" i="14"/>
  <c r="CO67" i="14" s="1"/>
  <c r="CW67" i="14" s="1"/>
  <c r="CJ67" i="14" s="1"/>
  <c r="CN67" i="14" s="1"/>
  <c r="CH33" i="14"/>
  <c r="CU75" i="14"/>
  <c r="CQ75" i="14" s="1"/>
  <c r="CY75" i="14" s="1"/>
  <c r="CL75" i="14" s="1"/>
  <c r="CQ74" i="14"/>
  <c r="CP66" i="14"/>
  <c r="CT67" i="14"/>
  <c r="CU91" i="15"/>
  <c r="CQ91" i="15" s="1"/>
  <c r="CY91" i="15" s="1"/>
  <c r="CL91" i="15" s="1"/>
  <c r="CQ90" i="15"/>
  <c r="AM57" i="15"/>
  <c r="BM62" i="15"/>
  <c r="BN86" i="15"/>
  <c r="AM81" i="15"/>
  <c r="AI81" i="15" s="1"/>
  <c r="AJ81" i="15" s="1"/>
  <c r="CU83" i="14"/>
  <c r="CQ83" i="14" s="1"/>
  <c r="CY83" i="14" s="1"/>
  <c r="CL83" i="14" s="1"/>
  <c r="CQ82" i="14"/>
  <c r="CQ66" i="15"/>
  <c r="CU67" i="15"/>
  <c r="CQ67" i="15" s="1"/>
  <c r="CY67" i="15" s="1"/>
  <c r="CL67" i="15" s="1"/>
  <c r="CZ74" i="15"/>
  <c r="CM74" i="15"/>
  <c r="CO90" i="14"/>
  <c r="CS91" i="14"/>
  <c r="CO91" i="14" s="1"/>
  <c r="CW91" i="14" s="1"/>
  <c r="CJ91" i="14" s="1"/>
  <c r="CN91" i="14" s="1"/>
  <c r="CU75" i="15"/>
  <c r="CQ75" i="15" s="1"/>
  <c r="CY75" i="15" s="1"/>
  <c r="CL75" i="15" s="1"/>
  <c r="CQ74" i="15"/>
  <c r="CU67" i="14"/>
  <c r="CQ67" i="14" s="1"/>
  <c r="CY67" i="14" s="1"/>
  <c r="CL67" i="14" s="1"/>
  <c r="CQ66" i="14"/>
  <c r="CU83" i="15"/>
  <c r="CQ83" i="15" s="1"/>
  <c r="CY83" i="15" s="1"/>
  <c r="CL83" i="15" s="1"/>
  <c r="CQ82" i="15"/>
  <c r="CO74" i="15"/>
  <c r="CS75" i="15"/>
  <c r="CO75" i="15" s="1"/>
  <c r="CW75" i="15" s="1"/>
  <c r="CJ75" i="15" s="1"/>
  <c r="CN75" i="15" s="1"/>
  <c r="CU91" i="14"/>
  <c r="CQ91" i="14" s="1"/>
  <c r="CY91" i="14" s="1"/>
  <c r="CL91" i="14" s="1"/>
  <c r="CQ90" i="14"/>
  <c r="CS83" i="15"/>
  <c r="CO83" i="15" s="1"/>
  <c r="CW83" i="15" s="1"/>
  <c r="CJ83" i="15" s="1"/>
  <c r="CN83" i="15" s="1"/>
  <c r="CO82" i="15"/>
  <c r="CO58" i="14"/>
  <c r="CS59" i="14"/>
  <c r="CO59" i="14" s="1"/>
  <c r="CW59" i="14" s="1"/>
  <c r="CJ59" i="14" s="1"/>
  <c r="AM81" i="14"/>
  <c r="BM86" i="14"/>
  <c r="BN70" i="15"/>
  <c r="AM65" i="15"/>
  <c r="AI65" i="15" s="1"/>
  <c r="AJ65" i="15" s="1"/>
  <c r="CP91" i="14"/>
  <c r="CX91" i="14" s="1"/>
  <c r="CK91" i="14" s="1"/>
  <c r="BF94" i="14"/>
  <c r="CS83" i="14"/>
  <c r="CO83" i="14" s="1"/>
  <c r="CW83" i="14" s="1"/>
  <c r="CJ83" i="14" s="1"/>
  <c r="CO82" i="14"/>
  <c r="CU59" i="15"/>
  <c r="CQ59" i="15" s="1"/>
  <c r="CY59" i="15" s="1"/>
  <c r="CL59" i="15" s="1"/>
  <c r="CQ58" i="15"/>
  <c r="T98" i="3"/>
  <c r="CH34" i="15"/>
  <c r="CJ28" i="14"/>
  <c r="E47" i="18"/>
  <c r="E49" i="18" s="1"/>
  <c r="E44" i="18"/>
  <c r="E45" i="18" s="1"/>
  <c r="E46" i="18" s="1"/>
  <c r="FQ66" i="3"/>
  <c r="DD65" i="3"/>
  <c r="AG65" i="3" s="1"/>
  <c r="DA65" i="3"/>
  <c r="AD65" i="3" s="1"/>
  <c r="DD64" i="3"/>
  <c r="FQ57" i="3"/>
  <c r="DD56" i="3"/>
  <c r="AG56" i="3" s="1"/>
  <c r="DA56" i="3"/>
  <c r="AD56" i="3" s="1"/>
  <c r="DD55" i="3"/>
  <c r="AG55" i="3" s="1"/>
  <c r="CH33" i="15"/>
  <c r="BB34" i="14"/>
  <c r="CI33" i="14"/>
  <c r="BR39" i="14"/>
  <c r="BL42" i="14"/>
  <c r="BO43" i="14"/>
  <c r="BM42" i="14"/>
  <c r="AU43" i="14" s="1"/>
  <c r="BT40" i="14"/>
  <c r="BT41" i="14" s="1"/>
  <c r="BN42" i="14"/>
  <c r="BS40" i="14"/>
  <c r="BS41" i="14" s="1"/>
  <c r="BO42" i="14"/>
  <c r="AS42" i="14"/>
  <c r="BB40" i="14"/>
  <c r="CI40" i="14"/>
  <c r="CL40" i="14" s="1"/>
  <c r="CK40" i="14"/>
  <c r="CI39" i="14"/>
  <c r="CL39" i="14" s="1"/>
  <c r="CK39" i="14"/>
  <c r="CI34" i="14"/>
  <c r="CL34" i="14" s="1"/>
  <c r="CK34" i="14"/>
  <c r="CL33" i="14"/>
  <c r="BR33" i="15"/>
  <c r="BO37" i="15"/>
  <c r="BM36" i="15"/>
  <c r="AU37" i="15" s="1"/>
  <c r="BT34" i="15"/>
  <c r="BT35" i="15" s="1"/>
  <c r="BL36" i="15"/>
  <c r="BO36" i="15"/>
  <c r="AS36" i="15"/>
  <c r="BN36" i="15"/>
  <c r="BS34" i="15"/>
  <c r="BS35" i="15" s="1"/>
  <c r="AY440" i="14"/>
  <c r="AT440" i="14" s="1"/>
  <c r="AT439" i="14"/>
  <c r="CJ34" i="15"/>
  <c r="DE82" i="15"/>
  <c r="DE84" i="15"/>
  <c r="DE85" i="15" s="1"/>
  <c r="DE66" i="14"/>
  <c r="DE68" i="14"/>
  <c r="DE69" i="14" s="1"/>
  <c r="DF84" i="14"/>
  <c r="DF85" i="14" s="1"/>
  <c r="DF82" i="14"/>
  <c r="DI84" i="14"/>
  <c r="DI85" i="14" s="1"/>
  <c r="CK33" i="15"/>
  <c r="CL33" i="15" s="1"/>
  <c r="DH68" i="15"/>
  <c r="DH69" i="15" s="1"/>
  <c r="DH66" i="15"/>
  <c r="DI92" i="14"/>
  <c r="DI93" i="14" s="1"/>
  <c r="DF92" i="14"/>
  <c r="DF93" i="14" s="1"/>
  <c r="DF90" i="14"/>
  <c r="BR33" i="14"/>
  <c r="BL36" i="14"/>
  <c r="BM36" i="14"/>
  <c r="AU37" i="14" s="1"/>
  <c r="BN36" i="14"/>
  <c r="BO36" i="14"/>
  <c r="BO37" i="14"/>
  <c r="BT34" i="14"/>
  <c r="BT35" i="14" s="1"/>
  <c r="BS34" i="14"/>
  <c r="BS35" i="14" s="1"/>
  <c r="AS36" i="14"/>
  <c r="DE92" i="15"/>
  <c r="DE93" i="15" s="1"/>
  <c r="DE90" i="15"/>
  <c r="DF82" i="15"/>
  <c r="DI84" i="15"/>
  <c r="DI85" i="15" s="1"/>
  <c r="DF84" i="15"/>
  <c r="DF85" i="15" s="1"/>
  <c r="DH82" i="14"/>
  <c r="DH84" i="14"/>
  <c r="DH85" i="14" s="1"/>
  <c r="DH90" i="14"/>
  <c r="DH92" i="14"/>
  <c r="DH93" i="14" s="1"/>
  <c r="DE74" i="15"/>
  <c r="DE76" i="15"/>
  <c r="DE77" i="15" s="1"/>
  <c r="DH74" i="14"/>
  <c r="DH76" i="14"/>
  <c r="DH77" i="14" s="1"/>
  <c r="CI34" i="15"/>
  <c r="CL34" i="15" s="1"/>
  <c r="CK34" i="15"/>
  <c r="DH82" i="15"/>
  <c r="DH84" i="15"/>
  <c r="DH85" i="15" s="1"/>
  <c r="DH66" i="14"/>
  <c r="DH68" i="14"/>
  <c r="DH69" i="14" s="1"/>
  <c r="DE68" i="15"/>
  <c r="DE69" i="15" s="1"/>
  <c r="DE66" i="15"/>
  <c r="DF76" i="15"/>
  <c r="DF77" i="15" s="1"/>
  <c r="DF74" i="15"/>
  <c r="DI76" i="15"/>
  <c r="DI77" i="15" s="1"/>
  <c r="DH90" i="15"/>
  <c r="DH92" i="15"/>
  <c r="DH93" i="15" s="1"/>
  <c r="DI76" i="14"/>
  <c r="DI77" i="14" s="1"/>
  <c r="DF76" i="14"/>
  <c r="DF77" i="14" s="1"/>
  <c r="DF74" i="14"/>
  <c r="DI68" i="14"/>
  <c r="DI69" i="14" s="1"/>
  <c r="DF68" i="14"/>
  <c r="DF69" i="14" s="1"/>
  <c r="DF66" i="14"/>
  <c r="DE84" i="14"/>
  <c r="DE85" i="14" s="1"/>
  <c r="DE82" i="14"/>
  <c r="DF66" i="15"/>
  <c r="DI68" i="15"/>
  <c r="DI69" i="15" s="1"/>
  <c r="DF68" i="15"/>
  <c r="DF69" i="15" s="1"/>
  <c r="DE92" i="14"/>
  <c r="DE93" i="14" s="1"/>
  <c r="DE90" i="14"/>
  <c r="DH76" i="15"/>
  <c r="DH77" i="15" s="1"/>
  <c r="DH74" i="15"/>
  <c r="DF90" i="15"/>
  <c r="DI92" i="15"/>
  <c r="DI93" i="15" s="1"/>
  <c r="DF92" i="15"/>
  <c r="DF93" i="15" s="1"/>
  <c r="DE76" i="14"/>
  <c r="DE77" i="14" s="1"/>
  <c r="DE74" i="14"/>
  <c r="CZ356" i="3"/>
  <c r="CZ355" i="3" s="1"/>
  <c r="CZ354" i="3" s="1"/>
  <c r="CL15" i="15"/>
  <c r="EG125" i="3"/>
  <c r="EH125" i="3" s="1"/>
  <c r="EI125" i="3"/>
  <c r="EJ125" i="3" s="1"/>
  <c r="CL16" i="15"/>
  <c r="CP59" i="14"/>
  <c r="CX59" i="14" s="1"/>
  <c r="CK59" i="14" s="1"/>
  <c r="CN59" i="14" s="1"/>
  <c r="CR59" i="15"/>
  <c r="CZ59" i="15" s="1"/>
  <c r="CM59" i="15" s="1"/>
  <c r="CN59" i="15" s="1"/>
  <c r="BI62" i="15"/>
  <c r="CL16" i="14"/>
  <c r="CX58" i="14"/>
  <c r="CK58" i="14"/>
  <c r="CM58" i="15"/>
  <c r="CZ58" i="15"/>
  <c r="CL15" i="14"/>
  <c r="N21" i="3"/>
  <c r="AM21" i="14"/>
  <c r="BT22" i="14"/>
  <c r="BT23" i="14" s="1"/>
  <c r="CS22" i="14"/>
  <c r="CS24" i="14" s="1"/>
  <c r="CH24" i="14" s="1"/>
  <c r="CV22" i="14"/>
  <c r="CV24" i="14" s="1"/>
  <c r="DA32" i="3"/>
  <c r="AD32" i="3" s="1"/>
  <c r="N32" i="3" s="1"/>
  <c r="DD32" i="3"/>
  <c r="AG32" i="3" s="1"/>
  <c r="Y8" i="3"/>
  <c r="CM8" i="3" s="1"/>
  <c r="Z8" i="3" s="1"/>
  <c r="BN18" i="14"/>
  <c r="BL18" i="14"/>
  <c r="BO19" i="14"/>
  <c r="BO18" i="14"/>
  <c r="BM18" i="14"/>
  <c r="AU19" i="14" s="1"/>
  <c r="AS18" i="14"/>
  <c r="BI24" i="14"/>
  <c r="Z21" i="14" s="1"/>
  <c r="BF24" i="14"/>
  <c r="W21" i="14" s="1"/>
  <c r="BG24" i="14"/>
  <c r="X21" i="14" s="1"/>
  <c r="BJ24" i="14"/>
  <c r="AA21" i="14" s="1"/>
  <c r="O21" i="15"/>
  <c r="CT346" i="3"/>
  <c r="CT392" i="3"/>
  <c r="CT393" i="3" s="1"/>
  <c r="CR346" i="3"/>
  <c r="CR392" i="3"/>
  <c r="CR393" i="3" s="1"/>
  <c r="EG115" i="3"/>
  <c r="EF115" i="3"/>
  <c r="DG109" i="3"/>
  <c r="EE109" i="3"/>
  <c r="DE109" i="3"/>
  <c r="EI115" i="3"/>
  <c r="EH115" i="3"/>
  <c r="AJ57" i="14"/>
  <c r="V57" i="15"/>
  <c r="AY442" i="15"/>
  <c r="AZ441" i="15"/>
  <c r="AW441" i="15"/>
  <c r="AR441" i="15" s="1"/>
  <c r="AR440" i="15"/>
  <c r="AR395" i="15"/>
  <c r="AW396" i="15"/>
  <c r="AR396" i="15" s="1"/>
  <c r="AY441" i="15"/>
  <c r="AT441" i="15" s="1"/>
  <c r="AT440" i="15"/>
  <c r="AY396" i="15"/>
  <c r="AT396" i="15" s="1"/>
  <c r="AT395" i="15"/>
  <c r="AW442" i="15"/>
  <c r="AX441" i="15"/>
  <c r="AW349" i="15"/>
  <c r="AR349" i="15" s="1"/>
  <c r="AR348" i="15"/>
  <c r="AY349" i="15"/>
  <c r="AT349" i="15" s="1"/>
  <c r="AT348" i="15"/>
  <c r="AW441" i="14"/>
  <c r="AX440" i="14"/>
  <c r="AW440" i="14"/>
  <c r="AR440" i="14" s="1"/>
  <c r="AR439" i="14"/>
  <c r="AY441" i="14"/>
  <c r="AZ440" i="14"/>
  <c r="AW394" i="14"/>
  <c r="AX393" i="14"/>
  <c r="AY393" i="14"/>
  <c r="AT393" i="14" s="1"/>
  <c r="AT392" i="14"/>
  <c r="AW393" i="14"/>
  <c r="AR393" i="14" s="1"/>
  <c r="AR392" i="14"/>
  <c r="AY394" i="14"/>
  <c r="AZ393" i="14"/>
  <c r="DE21" i="3"/>
  <c r="DE27" i="3"/>
  <c r="DE37" i="3"/>
  <c r="DB21" i="3"/>
  <c r="DE12" i="3"/>
  <c r="DB12" i="3"/>
  <c r="AS346" i="14"/>
  <c r="AU346" i="14"/>
  <c r="AU441" i="14"/>
  <c r="AU438" i="14"/>
  <c r="AS441" i="14"/>
  <c r="AS438" i="14"/>
  <c r="ES107" i="3"/>
  <c r="DH107" i="3"/>
  <c r="AD107" i="3" s="1"/>
  <c r="DE107" i="3"/>
  <c r="AA107" i="3" s="1"/>
  <c r="T107" i="3" s="1"/>
  <c r="EF107" i="3"/>
  <c r="EL107" i="3"/>
  <c r="DI107" i="3"/>
  <c r="AE107" i="3" s="1"/>
  <c r="DF107" i="3"/>
  <c r="AB107" i="3" s="1"/>
  <c r="EU107" i="3"/>
  <c r="FI107" i="3" s="1"/>
  <c r="ET107" i="3"/>
  <c r="FH107" i="3" s="1"/>
  <c r="DJ107" i="3"/>
  <c r="AF107" i="3" s="1"/>
  <c r="DG107" i="3"/>
  <c r="AC107" i="3" s="1"/>
  <c r="N11" i="3"/>
  <c r="CZ321" i="3"/>
  <c r="DC311" i="3"/>
  <c r="DC316" i="3"/>
  <c r="DC321" i="3"/>
  <c r="CZ316" i="3"/>
  <c r="DB347" i="3"/>
  <c r="DB346" i="3" s="1"/>
  <c r="DB345" i="3" s="1"/>
  <c r="AG31" i="3"/>
  <c r="N31" i="3" s="1"/>
  <c r="CY353" i="3"/>
  <c r="CY352" i="3" s="1"/>
  <c r="CY351" i="3" s="1"/>
  <c r="DD351" i="3" s="1"/>
  <c r="DB361" i="3"/>
  <c r="DB360" i="3" s="1"/>
  <c r="CY361" i="3"/>
  <c r="CY360" i="3" s="1"/>
  <c r="DD360" i="3" s="1"/>
  <c r="DB344" i="3"/>
  <c r="DB343" i="3" s="1"/>
  <c r="DB342" i="3" s="1"/>
  <c r="DD342" i="3" s="1"/>
  <c r="DD347" i="3" s="1"/>
  <c r="DB338" i="3"/>
  <c r="DB337" i="3" s="1"/>
  <c r="DB336" i="3" s="1"/>
  <c r="DD336" i="3" s="1"/>
  <c r="DB353" i="3"/>
  <c r="DB352" i="3" s="1"/>
  <c r="DB351" i="3" s="1"/>
  <c r="CZ364" i="3"/>
  <c r="CY365" i="3"/>
  <c r="CY364" i="3" s="1"/>
  <c r="CZ319" i="3"/>
  <c r="CZ318" i="3" s="1"/>
  <c r="DB319" i="3"/>
  <c r="DB318" i="3" s="1"/>
  <c r="DC319" i="3"/>
  <c r="DC318" i="3" s="1"/>
  <c r="CY319" i="3"/>
  <c r="CY318" i="3" s="1"/>
  <c r="DD318" i="3" s="1"/>
  <c r="DC306" i="3"/>
  <c r="DB335" i="3"/>
  <c r="DB334" i="3" s="1"/>
  <c r="DB333" i="3" s="1"/>
  <c r="CZ359" i="3"/>
  <c r="CZ358" i="3" s="1"/>
  <c r="CY359" i="3"/>
  <c r="CY358" i="3" s="1"/>
  <c r="DD358" i="3" s="1"/>
  <c r="AG27" i="3"/>
  <c r="N27" i="3" s="1"/>
  <c r="CY341" i="3"/>
  <c r="CY340" i="3" s="1"/>
  <c r="CY339" i="3" s="1"/>
  <c r="DD339" i="3" s="1"/>
  <c r="DB355" i="3"/>
  <c r="DB354" i="3" s="1"/>
  <c r="CY355" i="3"/>
  <c r="CY354" i="3" s="1"/>
  <c r="DD354" i="3" s="1"/>
  <c r="DC361" i="3"/>
  <c r="DC360" i="3" s="1"/>
  <c r="CZ361" i="3"/>
  <c r="CZ360" i="3" s="1"/>
  <c r="CU431" i="3"/>
  <c r="CU428" i="3"/>
  <c r="CS431" i="3"/>
  <c r="CS428" i="3"/>
  <c r="CU258" i="3"/>
  <c r="CU259" i="3" s="1"/>
  <c r="CV257" i="3"/>
  <c r="CV260" i="3"/>
  <c r="CY77" i="3"/>
  <c r="N77" i="3" s="1"/>
  <c r="DA77" i="3"/>
  <c r="DA127" i="3" s="1"/>
  <c r="CZ77" i="3"/>
  <c r="CZ127" i="3" s="1"/>
  <c r="DB77" i="3"/>
  <c r="DB127" i="3" s="1"/>
  <c r="L76" i="3"/>
  <c r="DH109" i="3"/>
  <c r="DF115" i="3"/>
  <c r="DI115" i="3"/>
  <c r="DH115" i="3"/>
  <c r="DF109" i="3"/>
  <c r="DI109" i="3"/>
  <c r="CT257" i="3"/>
  <c r="CT260" i="3"/>
  <c r="CS258" i="3"/>
  <c r="CS259" i="3" s="1"/>
  <c r="R85" i="3"/>
  <c r="R86" i="3"/>
  <c r="R83" i="3"/>
  <c r="S83" i="3" s="1"/>
  <c r="R84" i="3"/>
  <c r="R81" i="3"/>
  <c r="S81" i="3" s="1"/>
  <c r="R82" i="3"/>
  <c r="N19" i="3"/>
  <c r="CV210" i="3"/>
  <c r="CV213" i="3"/>
  <c r="CU211" i="3"/>
  <c r="CU212" i="3" s="1"/>
  <c r="CT164" i="3"/>
  <c r="CS165" i="3"/>
  <c r="CS166" i="3" s="1"/>
  <c r="CT167" i="3"/>
  <c r="CV165" i="3"/>
  <c r="CU163" i="3"/>
  <c r="CU164" i="3" s="1"/>
  <c r="CV162" i="3"/>
  <c r="CS219" i="3"/>
  <c r="CS220" i="3" s="1"/>
  <c r="CT221" i="3"/>
  <c r="CT218" i="3"/>
  <c r="DD80" i="3"/>
  <c r="DC80" i="3"/>
  <c r="DC79" i="3"/>
  <c r="CY79" i="3" s="1"/>
  <c r="DD79" i="3"/>
  <c r="DB80" i="3" s="1"/>
  <c r="CJ74" i="15" l="1"/>
  <c r="CN74" i="15" s="1"/>
  <c r="CW74" i="15"/>
  <c r="CJ90" i="14"/>
  <c r="CN90" i="14" s="1"/>
  <c r="CW90" i="14"/>
  <c r="CY66" i="15"/>
  <c r="CL66" i="15"/>
  <c r="CW74" i="14"/>
  <c r="CJ74" i="14"/>
  <c r="CN74" i="14" s="1"/>
  <c r="O73" i="14" s="1"/>
  <c r="Y73" i="14" s="1"/>
  <c r="CM90" i="14"/>
  <c r="CZ90" i="14"/>
  <c r="CW66" i="15"/>
  <c r="CJ66" i="15"/>
  <c r="CN66" i="15" s="1"/>
  <c r="O65" i="15" s="1"/>
  <c r="AM33" i="15"/>
  <c r="CJ82" i="14"/>
  <c r="CN82" i="14" s="1"/>
  <c r="O81" i="14" s="1"/>
  <c r="CW82" i="14"/>
  <c r="CY90" i="14"/>
  <c r="CL90" i="14"/>
  <c r="CY82" i="15"/>
  <c r="CL82" i="15"/>
  <c r="CY74" i="15"/>
  <c r="CL74" i="15"/>
  <c r="CY82" i="14"/>
  <c r="CL82" i="14"/>
  <c r="BF70" i="14"/>
  <c r="CP67" i="14"/>
  <c r="CX67" i="14" s="1"/>
  <c r="CK67" i="14" s="1"/>
  <c r="CW58" i="14"/>
  <c r="CJ58" i="14"/>
  <c r="CN58" i="14" s="1"/>
  <c r="O57" i="14" s="1"/>
  <c r="CK66" i="14"/>
  <c r="CX66" i="14"/>
  <c r="CK82" i="14"/>
  <c r="CX82" i="14"/>
  <c r="BI94" i="14"/>
  <c r="CR91" i="14"/>
  <c r="CZ91" i="14" s="1"/>
  <c r="CM91" i="14" s="1"/>
  <c r="BF78" i="15"/>
  <c r="CP75" i="15"/>
  <c r="CX75" i="15" s="1"/>
  <c r="CK75" i="15" s="1"/>
  <c r="CJ90" i="15"/>
  <c r="CN90" i="15" s="1"/>
  <c r="O89" i="15" s="1"/>
  <c r="CW90" i="15"/>
  <c r="CW58" i="15"/>
  <c r="CJ58" i="15"/>
  <c r="CN58" i="15" s="1"/>
  <c r="CL58" i="15"/>
  <c r="CY58" i="15"/>
  <c r="CW82" i="15"/>
  <c r="CJ82" i="15"/>
  <c r="CN82" i="15" s="1"/>
  <c r="O81" i="15" s="1"/>
  <c r="CL66" i="14"/>
  <c r="CY66" i="14"/>
  <c r="CL90" i="15"/>
  <c r="CY90" i="15"/>
  <c r="CL74" i="14"/>
  <c r="CY74" i="14"/>
  <c r="CJ66" i="14"/>
  <c r="CN66" i="14" s="1"/>
  <c r="O65" i="14" s="1"/>
  <c r="CW66" i="14"/>
  <c r="BF86" i="14"/>
  <c r="CP83" i="14"/>
  <c r="CX83" i="14" s="1"/>
  <c r="CK83" i="14" s="1"/>
  <c r="CN83" i="14" s="1"/>
  <c r="CK74" i="15"/>
  <c r="CX74" i="15"/>
  <c r="CY58" i="14"/>
  <c r="CL58" i="14"/>
  <c r="BK85" i="14"/>
  <c r="BH85" i="14"/>
  <c r="AA81" i="14" s="1"/>
  <c r="BE85" i="14"/>
  <c r="X81" i="14" s="1"/>
  <c r="AM39" i="14"/>
  <c r="BJ42" i="14"/>
  <c r="AA39" i="14" s="1"/>
  <c r="BG42" i="14"/>
  <c r="X39" i="14" s="1"/>
  <c r="BI42" i="14"/>
  <c r="Z39" i="14" s="1"/>
  <c r="BF42" i="14"/>
  <c r="W39" i="14" s="1"/>
  <c r="O39" i="14" s="1"/>
  <c r="BI36" i="15"/>
  <c r="Z33" i="15" s="1"/>
  <c r="BF36" i="15"/>
  <c r="BJ36" i="15"/>
  <c r="AA33" i="15" s="1"/>
  <c r="BG36" i="15"/>
  <c r="AY442" i="14"/>
  <c r="AT442" i="14" s="1"/>
  <c r="AT441" i="14"/>
  <c r="AM33" i="14"/>
  <c r="BF36" i="14"/>
  <c r="BI36" i="14"/>
  <c r="Z33" i="14" s="1"/>
  <c r="O21" i="14"/>
  <c r="Y65" i="14"/>
  <c r="BJ36" i="14"/>
  <c r="AA33" i="14" s="1"/>
  <c r="BG36" i="14"/>
  <c r="DB8" i="3"/>
  <c r="AE8" i="3" s="1"/>
  <c r="S85" i="3"/>
  <c r="AM15" i="14"/>
  <c r="AH15" i="14" s="1"/>
  <c r="AI15" i="14" s="1"/>
  <c r="BI18" i="14"/>
  <c r="BF18" i="14"/>
  <c r="BJ18" i="14"/>
  <c r="AA15" i="14" s="1"/>
  <c r="BG18" i="14"/>
  <c r="E97" i="18" s="1"/>
  <c r="E99" i="18" s="1"/>
  <c r="CZ80" i="3"/>
  <c r="O80" i="3" s="1"/>
  <c r="CZ79" i="3"/>
  <c r="DB79" i="3"/>
  <c r="AH21" i="14"/>
  <c r="AI21" i="14" s="1"/>
  <c r="P181" i="14"/>
  <c r="P182" i="14" s="1"/>
  <c r="P168" i="14"/>
  <c r="EP9" i="3"/>
  <c r="FL101" i="3"/>
  <c r="EM9" i="3"/>
  <c r="FO101" i="3"/>
  <c r="EG109" i="3"/>
  <c r="EF109" i="3"/>
  <c r="EO9" i="3"/>
  <c r="EL9" i="3"/>
  <c r="AJ57" i="15"/>
  <c r="EI109" i="3"/>
  <c r="EH109" i="3"/>
  <c r="AW443" i="15"/>
  <c r="AR443" i="15" s="1"/>
  <c r="AR442" i="15"/>
  <c r="AT442" i="15"/>
  <c r="AY443" i="15"/>
  <c r="AT443" i="15" s="1"/>
  <c r="AW442" i="14"/>
  <c r="AR442" i="14" s="1"/>
  <c r="AR441" i="14"/>
  <c r="AY395" i="14"/>
  <c r="AT395" i="14" s="1"/>
  <c r="AT394" i="14"/>
  <c r="AW395" i="14"/>
  <c r="AR395" i="14" s="1"/>
  <c r="AR394" i="14"/>
  <c r="X15" i="14"/>
  <c r="Z15" i="14"/>
  <c r="EI107" i="3"/>
  <c r="EJ107" i="3" s="1"/>
  <c r="EG107" i="3"/>
  <c r="EH107" i="3" s="1"/>
  <c r="DE14" i="3"/>
  <c r="AH14" i="3" s="1"/>
  <c r="DB14" i="3"/>
  <c r="AE14" i="3" s="1"/>
  <c r="AS440" i="14"/>
  <c r="AU440" i="14"/>
  <c r="CZ306" i="3"/>
  <c r="DD364" i="3"/>
  <c r="FH279" i="3"/>
  <c r="DB341" i="3"/>
  <c r="DB340" i="3" s="1"/>
  <c r="DB339" i="3" s="1"/>
  <c r="CS433" i="3"/>
  <c r="CS430" i="3"/>
  <c r="CU433" i="3"/>
  <c r="CU430" i="3"/>
  <c r="CV259" i="3"/>
  <c r="CU260" i="3"/>
  <c r="CU261" i="3" s="1"/>
  <c r="CV262" i="3"/>
  <c r="O77" i="3"/>
  <c r="P77" i="3"/>
  <c r="Q77" i="3"/>
  <c r="R77" i="3" s="1"/>
  <c r="DD76" i="3"/>
  <c r="DD126" i="3" s="1"/>
  <c r="DC76" i="3"/>
  <c r="DC126" i="3" s="1"/>
  <c r="CT259" i="3"/>
  <c r="CT262" i="3"/>
  <c r="CS260" i="3"/>
  <c r="CS261" i="3" s="1"/>
  <c r="CT220" i="3"/>
  <c r="CT223" i="3"/>
  <c r="CS221" i="3"/>
  <c r="CS222" i="3" s="1"/>
  <c r="CV167" i="3"/>
  <c r="CU165" i="3"/>
  <c r="CU166" i="3" s="1"/>
  <c r="CV164" i="3"/>
  <c r="CT169" i="3"/>
  <c r="CS167" i="3"/>
  <c r="CS168" i="3" s="1"/>
  <c r="CT166" i="3"/>
  <c r="CV212" i="3"/>
  <c r="CV215" i="3"/>
  <c r="CU213" i="3"/>
  <c r="CU214" i="3" s="1"/>
  <c r="DA79" i="3"/>
  <c r="Q79" i="3"/>
  <c r="O79" i="3"/>
  <c r="DA80" i="3"/>
  <c r="P80" i="3" s="1"/>
  <c r="CY80" i="3"/>
  <c r="N80" i="3" s="1"/>
  <c r="P79" i="3"/>
  <c r="N79" i="3"/>
  <c r="Q80" i="3"/>
  <c r="BL61" i="14" l="1"/>
  <c r="BF61" i="14" s="1"/>
  <c r="BK61" i="14"/>
  <c r="BU65" i="14"/>
  <c r="BK69" i="14"/>
  <c r="AB65" i="14"/>
  <c r="BL69" i="14"/>
  <c r="BL85" i="14"/>
  <c r="BU81" i="14"/>
  <c r="T81" i="14" s="1"/>
  <c r="DM81" i="14" s="1"/>
  <c r="U81" i="14" s="1"/>
  <c r="BK85" i="15"/>
  <c r="BU81" i="15"/>
  <c r="T81" i="15" s="1"/>
  <c r="DM81" i="15" s="1"/>
  <c r="U81" i="15" s="1"/>
  <c r="BL85" i="15"/>
  <c r="BU89" i="15"/>
  <c r="BL93" i="15"/>
  <c r="BK93" i="15"/>
  <c r="BU65" i="15"/>
  <c r="T65" i="15" s="1"/>
  <c r="DM65" i="15" s="1"/>
  <c r="U65" i="15" s="1"/>
  <c r="BK69" i="15"/>
  <c r="BL69" i="15"/>
  <c r="BU73" i="14"/>
  <c r="T73" i="14" s="1"/>
  <c r="BL77" i="14"/>
  <c r="BK77" i="14"/>
  <c r="W15" i="14"/>
  <c r="E94" i="18"/>
  <c r="E95" i="18" s="1"/>
  <c r="E96" i="18" s="1"/>
  <c r="W33" i="14"/>
  <c r="H94" i="18"/>
  <c r="H95" i="18" s="1"/>
  <c r="H96" i="18" s="1"/>
  <c r="W33" i="15"/>
  <c r="O33" i="15" s="1"/>
  <c r="H119" i="18"/>
  <c r="H120" i="18" s="1"/>
  <c r="H121" i="18" s="1"/>
  <c r="P81" i="14"/>
  <c r="X33" i="15"/>
  <c r="H122" i="18"/>
  <c r="H124" i="18" s="1"/>
  <c r="X33" i="14"/>
  <c r="H97" i="18"/>
  <c r="H99" i="18" s="1"/>
  <c r="O33" i="14"/>
  <c r="X77" i="14"/>
  <c r="Y77" i="14" s="1"/>
  <c r="DE8" i="3"/>
  <c r="AH8" i="3" s="1"/>
  <c r="O8" i="3" s="1"/>
  <c r="BH61" i="14"/>
  <c r="BE61" i="14"/>
  <c r="BI61" i="14"/>
  <c r="P173" i="14"/>
  <c r="P171" i="14"/>
  <c r="P172" i="14"/>
  <c r="FP101" i="3"/>
  <c r="R101" i="3" s="1"/>
  <c r="EQ9" i="3"/>
  <c r="M9" i="3" s="1"/>
  <c r="CS9" i="3" s="1"/>
  <c r="O15" i="14"/>
  <c r="FG279" i="3"/>
  <c r="CU435" i="3"/>
  <c r="CU432" i="3"/>
  <c r="CS435" i="3"/>
  <c r="CS432" i="3"/>
  <c r="CV261" i="3"/>
  <c r="CV264" i="3"/>
  <c r="CU262" i="3"/>
  <c r="CZ76" i="3"/>
  <c r="CZ126" i="3" s="1"/>
  <c r="DB76" i="3"/>
  <c r="DB126" i="3" s="1"/>
  <c r="DH96" i="3"/>
  <c r="CY76" i="3"/>
  <c r="DA76" i="3"/>
  <c r="DA126" i="3" s="1"/>
  <c r="CT261" i="3"/>
  <c r="CS262" i="3"/>
  <c r="CS263" i="3" s="1"/>
  <c r="CT264" i="3"/>
  <c r="CV217" i="3"/>
  <c r="CU215" i="3"/>
  <c r="CU216" i="3" s="1"/>
  <c r="CV214" i="3"/>
  <c r="CT171" i="3"/>
  <c r="CS169" i="3"/>
  <c r="CS170" i="3" s="1"/>
  <c r="CT168" i="3"/>
  <c r="CU167" i="3"/>
  <c r="CU168" i="3" s="1"/>
  <c r="CV166" i="3"/>
  <c r="CV169" i="3"/>
  <c r="CT222" i="3"/>
  <c r="CS223" i="3"/>
  <c r="CS224" i="3" s="1"/>
  <c r="CT225" i="3"/>
  <c r="R79" i="3"/>
  <c r="R80" i="3"/>
  <c r="BH77" i="14" l="1"/>
  <c r="AA73" i="14" s="1"/>
  <c r="BE77" i="14"/>
  <c r="X73" i="14" s="1"/>
  <c r="P73" i="14" s="1"/>
  <c r="BE69" i="15"/>
  <c r="X65" i="15" s="1"/>
  <c r="P65" i="15" s="1"/>
  <c r="BH69" i="15"/>
  <c r="AA65" i="15" s="1"/>
  <c r="BW81" i="14"/>
  <c r="AC81" i="14" s="1"/>
  <c r="BV81" i="14"/>
  <c r="Z81" i="14" s="1"/>
  <c r="Q81" i="14" s="1"/>
  <c r="DG81" i="14"/>
  <c r="DJ81" i="14"/>
  <c r="DJ82" i="14" s="1"/>
  <c r="BH69" i="14"/>
  <c r="AA65" i="14" s="1"/>
  <c r="BE69" i="14"/>
  <c r="X65" i="14" s="1"/>
  <c r="P65" i="14" s="1"/>
  <c r="BF77" i="14"/>
  <c r="BI77" i="14"/>
  <c r="AB73" i="14" s="1"/>
  <c r="BW65" i="15"/>
  <c r="AC65" i="15" s="1"/>
  <c r="DJ65" i="15"/>
  <c r="DJ66" i="15" s="1"/>
  <c r="BV65" i="15"/>
  <c r="Z65" i="15" s="1"/>
  <c r="Q65" i="15" s="1"/>
  <c r="DG65" i="15"/>
  <c r="BF85" i="15"/>
  <c r="Y81" i="15" s="1"/>
  <c r="BI85" i="15"/>
  <c r="AB81" i="15" s="1"/>
  <c r="BF85" i="14"/>
  <c r="Y81" i="14" s="1"/>
  <c r="BI85" i="14"/>
  <c r="AB81" i="14" s="1"/>
  <c r="BE93" i="15"/>
  <c r="X89" i="15" s="1"/>
  <c r="P89" i="15" s="1"/>
  <c r="BH93" i="15"/>
  <c r="AA89" i="15" s="1"/>
  <c r="BW81" i="15"/>
  <c r="AC81" i="15" s="1"/>
  <c r="DG81" i="15"/>
  <c r="BV81" i="15"/>
  <c r="Z81" i="15" s="1"/>
  <c r="Q81" i="15" s="1"/>
  <c r="DJ81" i="15"/>
  <c r="DJ82" i="15" s="1"/>
  <c r="BF69" i="14"/>
  <c r="BI69" i="14"/>
  <c r="BF69" i="15"/>
  <c r="Y65" i="15" s="1"/>
  <c r="BI69" i="15"/>
  <c r="AB65" i="15" s="1"/>
  <c r="BI93" i="15"/>
  <c r="AB89" i="15" s="1"/>
  <c r="BF93" i="15"/>
  <c r="Y89" i="15" s="1"/>
  <c r="BE85" i="15"/>
  <c r="X81" i="15" s="1"/>
  <c r="P81" i="15" s="1"/>
  <c r="BH85" i="15"/>
  <c r="AA81" i="15" s="1"/>
  <c r="J94" i="18"/>
  <c r="J95" i="18" s="1"/>
  <c r="J96" i="18" s="1"/>
  <c r="P174" i="14"/>
  <c r="DM73" i="14"/>
  <c r="U73" i="14" s="1"/>
  <c r="DJ73" i="14" s="1"/>
  <c r="DJ74" i="14" s="1"/>
  <c r="P175" i="14"/>
  <c r="P179" i="14" s="1"/>
  <c r="P180" i="14" s="1"/>
  <c r="DF9" i="3"/>
  <c r="DG9" i="3"/>
  <c r="EJ9" i="3"/>
  <c r="EI9" i="3"/>
  <c r="DY9" i="3"/>
  <c r="EA9" i="3" s="1"/>
  <c r="CT101" i="3"/>
  <c r="X101" i="3" s="1"/>
  <c r="Y101" i="3" s="1"/>
  <c r="DL101" i="3"/>
  <c r="DK101" i="3"/>
  <c r="ED101" i="3"/>
  <c r="CU263" i="3"/>
  <c r="FP99" i="3"/>
  <c r="R99" i="3" s="1"/>
  <c r="DB306" i="3"/>
  <c r="FH280" i="3"/>
  <c r="FG280" i="3"/>
  <c r="CS437" i="3"/>
  <c r="CS434" i="3"/>
  <c r="CU437" i="3"/>
  <c r="CU434" i="3"/>
  <c r="CU264" i="3"/>
  <c r="CU265" i="3" s="1"/>
  <c r="CZ277" i="3" s="1"/>
  <c r="CZ299" i="3" s="1"/>
  <c r="CV263" i="3"/>
  <c r="CV266" i="3"/>
  <c r="P76" i="3"/>
  <c r="Q76" i="3"/>
  <c r="DD96" i="3"/>
  <c r="N76" i="3"/>
  <c r="R76" i="3" s="1"/>
  <c r="DE96" i="3"/>
  <c r="O76" i="3"/>
  <c r="CT266" i="3"/>
  <c r="CS264" i="3"/>
  <c r="CS265" i="3" s="1"/>
  <c r="CT263" i="3"/>
  <c r="CV171" i="3"/>
  <c r="CU169" i="3"/>
  <c r="CU170" i="3" s="1"/>
  <c r="CV168" i="3"/>
  <c r="CU217" i="3"/>
  <c r="CU218" i="3" s="1"/>
  <c r="CV219" i="3"/>
  <c r="CV216" i="3"/>
  <c r="CS225" i="3"/>
  <c r="CS226" i="3" s="1"/>
  <c r="CT224" i="3"/>
  <c r="CT173" i="3"/>
  <c r="CS171" i="3"/>
  <c r="CS172" i="3" s="1"/>
  <c r="CT170" i="3"/>
  <c r="S79" i="3"/>
  <c r="DG84" i="15" l="1"/>
  <c r="DG85" i="15" s="1"/>
  <c r="DG82" i="15"/>
  <c r="DJ84" i="15"/>
  <c r="DJ85" i="15" s="1"/>
  <c r="DJ68" i="15"/>
  <c r="DJ69" i="15" s="1"/>
  <c r="DG66" i="15"/>
  <c r="DG68" i="15"/>
  <c r="DG69" i="15" s="1"/>
  <c r="DJ84" i="14"/>
  <c r="DJ85" i="14" s="1"/>
  <c r="DG82" i="14"/>
  <c r="DG84" i="14"/>
  <c r="DG85" i="14" s="1"/>
  <c r="BV73" i="14"/>
  <c r="Z73" i="14" s="1"/>
  <c r="DG73" i="14"/>
  <c r="DG74" i="14" s="1"/>
  <c r="BW73" i="14"/>
  <c r="AC73" i="14" s="1"/>
  <c r="Q73" i="14" s="1"/>
  <c r="DG76" i="14"/>
  <c r="DG77" i="14" s="1"/>
  <c r="DD9" i="3"/>
  <c r="DA9" i="3"/>
  <c r="P178" i="14"/>
  <c r="P183" i="14" s="1"/>
  <c r="DK99" i="3"/>
  <c r="DH99" i="3" s="1"/>
  <c r="AD99" i="3" s="1"/>
  <c r="DL99" i="3"/>
  <c r="EL101" i="3"/>
  <c r="EF101" i="3"/>
  <c r="ET101" i="3"/>
  <c r="FH101" i="3" s="1"/>
  <c r="DF101" i="3"/>
  <c r="AB101" i="3" s="1"/>
  <c r="EU101" i="3"/>
  <c r="FI101" i="3" s="1"/>
  <c r="DI101" i="3"/>
  <c r="AE101" i="3" s="1"/>
  <c r="ED9" i="3"/>
  <c r="EE9" i="3" s="1"/>
  <c r="EB9" i="3"/>
  <c r="EC9" i="3" s="1"/>
  <c r="AD9" i="3"/>
  <c r="AG9" i="3"/>
  <c r="DE101" i="3"/>
  <c r="AA101" i="3" s="1"/>
  <c r="DH101" i="3"/>
  <c r="AD101" i="3" s="1"/>
  <c r="ES101" i="3"/>
  <c r="DJ101" i="3"/>
  <c r="AF101" i="3" s="1"/>
  <c r="DG101" i="3"/>
  <c r="AC101" i="3" s="1"/>
  <c r="CT99" i="3"/>
  <c r="X99" i="3" s="1"/>
  <c r="Y99" i="3" s="1"/>
  <c r="ED99" i="3"/>
  <c r="DE99" i="3"/>
  <c r="AA99" i="3" s="1"/>
  <c r="CU439" i="3"/>
  <c r="CU436" i="3"/>
  <c r="CS439" i="3"/>
  <c r="CS436" i="3"/>
  <c r="CV265" i="3"/>
  <c r="DA277" i="3" s="1"/>
  <c r="DA299" i="3" s="1"/>
  <c r="CV268" i="3"/>
  <c r="CU266" i="3"/>
  <c r="CU267" i="3" s="1"/>
  <c r="CT268" i="3"/>
  <c r="CT265" i="3"/>
  <c r="CY277" i="3" s="1"/>
  <c r="CY299" i="3" s="1"/>
  <c r="CS266" i="3"/>
  <c r="CS267" i="3" s="1"/>
  <c r="CT175" i="3"/>
  <c r="CS173" i="3"/>
  <c r="CS174" i="3" s="1"/>
  <c r="CT172" i="3"/>
  <c r="CU219" i="3"/>
  <c r="CU220" i="3" s="1"/>
  <c r="CV221" i="3"/>
  <c r="CV218" i="3"/>
  <c r="CV173" i="3"/>
  <c r="CU171" i="3"/>
  <c r="CU172" i="3" s="1"/>
  <c r="CV170" i="3"/>
  <c r="DJ76" i="14" l="1"/>
  <c r="DJ77" i="14" s="1"/>
  <c r="DB9" i="3"/>
  <c r="U101" i="3"/>
  <c r="T101" i="3"/>
  <c r="EI101" i="3"/>
  <c r="EJ101" i="3" s="1"/>
  <c r="EG101" i="3"/>
  <c r="EH101" i="3" s="1"/>
  <c r="ET99" i="3"/>
  <c r="FH99" i="3" s="1"/>
  <c r="DF99" i="3"/>
  <c r="AB99" i="3" s="1"/>
  <c r="EU99" i="3"/>
  <c r="FI99" i="3" s="1"/>
  <c r="DI99" i="3"/>
  <c r="AE99" i="3" s="1"/>
  <c r="T99" i="3" s="1"/>
  <c r="ES99" i="3"/>
  <c r="ER99" i="3"/>
  <c r="EF99" i="3"/>
  <c r="EL99" i="3"/>
  <c r="DJ99" i="3"/>
  <c r="AF99" i="3" s="1"/>
  <c r="DG99" i="3"/>
  <c r="AC99" i="3" s="1"/>
  <c r="CS438" i="3"/>
  <c r="CU438" i="3"/>
  <c r="CV267" i="3"/>
  <c r="CV270" i="3"/>
  <c r="CU268" i="3"/>
  <c r="CU269" i="3" s="1"/>
  <c r="CT270" i="3"/>
  <c r="CS268" i="3"/>
  <c r="CS269" i="3" s="1"/>
  <c r="CT267" i="3"/>
  <c r="CV172" i="3"/>
  <c r="CU173" i="3"/>
  <c r="CU174" i="3" s="1"/>
  <c r="CV175" i="3"/>
  <c r="CU221" i="3"/>
  <c r="CU222" i="3" s="1"/>
  <c r="CV223" i="3"/>
  <c r="CV220" i="3"/>
  <c r="CT174" i="3"/>
  <c r="CT177" i="3"/>
  <c r="CS175" i="3"/>
  <c r="CS176" i="3" s="1"/>
  <c r="DE9" i="3" l="1"/>
  <c r="EG99" i="3"/>
  <c r="EH99" i="3" s="1"/>
  <c r="EI99" i="3"/>
  <c r="EJ99" i="3" s="1"/>
  <c r="U99" i="3"/>
  <c r="CV269" i="3"/>
  <c r="CU270" i="3"/>
  <c r="CU271" i="3" s="1"/>
  <c r="CV272" i="3"/>
  <c r="CS270" i="3"/>
  <c r="CS271" i="3" s="1"/>
  <c r="CT272" i="3"/>
  <c r="CT269" i="3"/>
  <c r="CS177" i="3"/>
  <c r="CS178" i="3" s="1"/>
  <c r="CT176" i="3"/>
  <c r="CV222" i="3"/>
  <c r="CU223" i="3"/>
  <c r="CU224" i="3" s="1"/>
  <c r="CV225" i="3"/>
  <c r="CV177" i="3"/>
  <c r="CU175" i="3"/>
  <c r="CU176" i="3" s="1"/>
  <c r="CV174" i="3"/>
  <c r="AL99" i="3" l="1"/>
  <c r="AM99" i="3" s="1"/>
  <c r="CU272" i="3"/>
  <c r="CU273" i="3" s="1"/>
  <c r="CV271" i="3"/>
  <c r="CT271" i="3"/>
  <c r="CS272" i="3"/>
  <c r="CS273" i="3" s="1"/>
  <c r="CV224" i="3"/>
  <c r="CU225" i="3"/>
  <c r="CU226" i="3" s="1"/>
  <c r="CV176" i="3"/>
  <c r="CU177" i="3"/>
  <c r="CU178" i="3" s="1"/>
  <c r="DH114" i="3" l="1"/>
  <c r="DH108" i="3" l="1"/>
  <c r="DE108" i="3"/>
  <c r="DE114" i="3"/>
  <c r="DI114" i="3"/>
  <c r="DF114" i="3"/>
  <c r="DI108" i="3"/>
  <c r="DF108" i="3"/>
  <c r="ES109" i="3" l="1"/>
  <c r="ES115" i="3"/>
  <c r="EU114" i="3" l="1"/>
  <c r="FI114" i="3"/>
  <c r="FH115" i="3"/>
  <c r="ET115" i="3"/>
  <c r="ET109" i="3"/>
  <c r="FH109" i="3"/>
  <c r="EL114" i="3"/>
  <c r="EK114" i="3"/>
  <c r="ES114" i="3"/>
  <c r="EU108" i="3"/>
  <c r="FI108" i="3"/>
  <c r="ET108" i="3"/>
  <c r="FH108" i="3"/>
  <c r="ET114" i="3"/>
  <c r="FH114" i="3"/>
  <c r="FI115" i="3"/>
  <c r="EU115" i="3"/>
  <c r="EU109" i="3"/>
  <c r="FI109" i="3"/>
  <c r="ES108" i="3"/>
  <c r="EK108" i="3"/>
  <c r="EL108" i="3"/>
  <c r="V57" i="14"/>
  <c r="BU57" i="14" s="1"/>
  <c r="T57" i="14" l="1"/>
  <c r="DM57" i="14" l="1"/>
  <c r="U57" i="14" s="1"/>
  <c r="AA57" i="14"/>
  <c r="Y57" i="14"/>
  <c r="AB57" i="14"/>
  <c r="X57" i="14"/>
  <c r="BW57" i="14" l="1"/>
  <c r="AC57" i="14" s="1"/>
  <c r="DG57" i="14"/>
  <c r="DJ60" i="14" s="1"/>
  <c r="DJ61" i="14" s="1"/>
  <c r="DJ57" i="14"/>
  <c r="DJ58" i="14" s="1"/>
  <c r="BV57" i="14"/>
  <c r="Z57" i="14" s="1"/>
  <c r="P57" i="14"/>
  <c r="DG60" i="14" l="1"/>
  <c r="DG61" i="14" s="1"/>
  <c r="Q57" i="14"/>
  <c r="DG58" i="14"/>
  <c r="U15" i="14"/>
  <c r="BR15" i="14" s="1"/>
  <c r="S15" i="14" l="1"/>
  <c r="CY15" i="14" s="1"/>
  <c r="T15" i="14" l="1"/>
  <c r="CS16" i="14" l="1"/>
  <c r="CS18" i="14" s="1"/>
  <c r="CH18" i="14" s="1"/>
  <c r="BT16" i="14"/>
  <c r="AB15" i="14" s="1"/>
  <c r="CV16" i="14"/>
  <c r="CV18" i="14" s="1"/>
  <c r="BS16" i="14"/>
  <c r="BS17" i="14" s="1"/>
  <c r="DC9" i="3"/>
  <c r="AF9" i="3" s="1"/>
  <c r="CZ9" i="3"/>
  <c r="AC9" i="3" s="1"/>
  <c r="Y15" i="14" l="1"/>
  <c r="P15" i="14" s="1"/>
  <c r="BT17" i="14"/>
  <c r="N9" i="3"/>
  <c r="N15" i="15" l="1"/>
  <c r="BR15" i="15" s="1"/>
  <c r="BO19" i="15" l="1"/>
  <c r="BO18" i="15"/>
  <c r="BM18" i="15"/>
  <c r="AU19" i="15" s="1"/>
  <c r="AS18" i="15"/>
  <c r="BL18" i="15"/>
  <c r="BN18" i="15"/>
  <c r="AM15" i="15" l="1"/>
  <c r="AH15" i="15" s="1"/>
  <c r="AI15" i="15" s="1"/>
  <c r="BI18" i="15"/>
  <c r="BF18" i="15"/>
  <c r="BJ18" i="15"/>
  <c r="AA15" i="15" s="1"/>
  <c r="BG18" i="15"/>
  <c r="Z15" i="15"/>
  <c r="X15" i="15" l="1"/>
  <c r="E122" i="18"/>
  <c r="E124" i="18" s="1"/>
  <c r="W15" i="15"/>
  <c r="O15" i="15" s="1"/>
  <c r="E119" i="18"/>
  <c r="E120" i="18" s="1"/>
  <c r="E121" i="18" s="1"/>
  <c r="O57" i="15" l="1"/>
  <c r="BU57" i="15" s="1"/>
  <c r="BK61" i="15" l="1"/>
  <c r="BL61" i="15"/>
  <c r="BF61" i="15" s="1"/>
  <c r="T57" i="15"/>
  <c r="DM57" i="15" s="1"/>
  <c r="U57" i="15" s="1"/>
  <c r="DG57" i="15" l="1"/>
  <c r="BI61" i="15"/>
  <c r="BH61" i="15"/>
  <c r="AA57" i="15" s="1"/>
  <c r="BE61" i="15"/>
  <c r="Y57" i="15"/>
  <c r="X57" i="15" l="1"/>
  <c r="J119" i="18"/>
  <c r="J120" i="18" s="1"/>
  <c r="J121" i="18" s="1"/>
  <c r="BW57" i="15"/>
  <c r="AC57" i="15" s="1"/>
  <c r="DJ57" i="15"/>
  <c r="DJ58" i="15" s="1"/>
  <c r="BV57" i="15"/>
  <c r="Z57" i="15" s="1"/>
  <c r="Q57" i="15" s="1"/>
  <c r="DG60" i="15"/>
  <c r="DG61" i="15" s="1"/>
  <c r="DG58" i="15"/>
  <c r="DJ60" i="15"/>
  <c r="DJ61" i="15" s="1"/>
  <c r="AB57" i="15"/>
  <c r="P57" i="15" s="1"/>
  <c r="EL40" i="3"/>
  <c r="EQ40" i="3" s="1"/>
  <c r="M40" i="3" s="1"/>
  <c r="EJ40" i="3" l="1"/>
  <c r="DG40" i="3"/>
  <c r="DF40" i="3"/>
  <c r="EI40" i="3"/>
  <c r="AA40" i="3" l="1"/>
  <c r="CS40" i="3" s="1"/>
  <c r="Y40" i="3" s="1"/>
  <c r="DC40" i="3"/>
  <c r="CZ40" i="3"/>
  <c r="E69" i="18" s="1"/>
  <c r="E70" i="18" s="1"/>
  <c r="E71" i="18" s="1"/>
  <c r="FM41" i="3"/>
  <c r="FN41" i="3"/>
  <c r="CM40" i="3" l="1"/>
  <c r="Z40" i="3" s="1"/>
  <c r="DB40" i="3" s="1"/>
  <c r="FU41" i="3"/>
  <c r="AC40" i="3"/>
  <c r="FO41" i="3"/>
  <c r="FO42" i="3" s="1"/>
  <c r="DA40" i="3"/>
  <c r="CN40" i="3"/>
  <c r="AN40" i="3" s="1"/>
  <c r="AO40" i="3" s="1"/>
  <c r="FN42" i="3"/>
  <c r="FQ41" i="3"/>
  <c r="FM42" i="3"/>
  <c r="FU42" i="3"/>
  <c r="FP41" i="3"/>
  <c r="FX41" i="3" s="1"/>
  <c r="FR41" i="3"/>
  <c r="AD40" i="3" l="1"/>
  <c r="DE40" i="3"/>
  <c r="DB41" i="3"/>
  <c r="DE41" i="3"/>
  <c r="FZ41" i="3"/>
  <c r="AE40" i="3"/>
  <c r="FW41" i="3"/>
  <c r="FW42" i="3" s="1"/>
  <c r="DA41" i="3"/>
  <c r="FV41" i="3"/>
  <c r="FV42" i="3" s="1"/>
  <c r="DD41" i="3"/>
  <c r="DD40" i="3"/>
  <c r="FY41" i="3" s="1"/>
  <c r="FR42" i="3"/>
  <c r="AH40" i="3"/>
  <c r="FP42" i="3"/>
  <c r="AF40" i="3"/>
  <c r="FQ42" i="3"/>
  <c r="E72" i="18" l="1"/>
  <c r="E74" i="18" s="1"/>
  <c r="O40" i="3"/>
  <c r="AG40" i="3"/>
  <c r="AD41" i="3"/>
  <c r="AG41" i="3"/>
  <c r="FY42" i="3"/>
  <c r="N40" i="3"/>
  <c r="FX42" i="3"/>
  <c r="FZ42" i="3"/>
  <c r="N41" i="3" l="1"/>
  <c r="S15" i="15"/>
  <c r="CY15" i="15" s="1"/>
  <c r="T15" i="15" s="1"/>
  <c r="CV16" i="15" l="1"/>
  <c r="CV18" i="15" s="1"/>
  <c r="CS16" i="15"/>
  <c r="CS18" i="15" s="1"/>
  <c r="CH18" i="15" s="1"/>
  <c r="BS16" i="15"/>
  <c r="BT16" i="15"/>
  <c r="BT17" i="15" l="1"/>
  <c r="AB15" i="15"/>
  <c r="BS17" i="15"/>
  <c r="Y15" i="15"/>
  <c r="P15" i="15" s="1"/>
  <c r="Y194" i="3"/>
  <c r="Y195" i="3" s="1"/>
  <c r="Y193" i="3" l="1"/>
  <c r="Y19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M253" authorId="0" shapeId="0" xr:uid="{00000000-0006-0000-0400-000001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H256" authorId="0" shapeId="0" xr:uid="{00000000-0006-0000-0400-000002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断面のH寸法が
実際に大きくなった
場合の</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matsumoto</author>
  </authors>
  <commentList>
    <comment ref="AB4" authorId="0" shapeId="0" xr:uid="{00000000-0006-0000-0800-000001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D6" authorId="1" shapeId="0" xr:uid="{00000000-0006-0000-0800-000002000000}">
      <text>
        <r>
          <rPr>
            <b/>
            <sz val="9"/>
            <color indexed="81"/>
            <rFont val="ＭＳ Ｐゴシック"/>
            <family val="3"/>
            <charset val="128"/>
          </rPr>
          <t>matsumoto:</t>
        </r>
        <r>
          <rPr>
            <sz val="9"/>
            <color indexed="81"/>
            <rFont val="ＭＳ Ｐゴシック"/>
            <family val="3"/>
            <charset val="128"/>
          </rPr>
          <t xml:space="preserve">
</t>
        </r>
        <r>
          <rPr>
            <sz val="12"/>
            <color indexed="81"/>
            <rFont val="ＭＳ Ｐゴシック"/>
            <family val="3"/>
            <charset val="128"/>
          </rPr>
          <t xml:space="preserve">覚えのため
特に記入の必要
なし
</t>
        </r>
      </text>
    </comment>
    <comment ref="H6" authorId="0" shapeId="0" xr:uid="{00000000-0006-0000-0800-000003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けらばの場合は2
倍の寸法を入力す
る</t>
        </r>
      </text>
    </comment>
    <comment ref="S94" authorId="0" shapeId="0" xr:uid="{00000000-0006-0000-0800-000004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L95" authorId="0" shapeId="0" xr:uid="{00000000-0006-0000-0800-000005000000}">
      <text>
        <r>
          <rPr>
            <b/>
            <sz val="9"/>
            <color indexed="81"/>
            <rFont val="ＭＳ Ｐゴシック"/>
            <family val="3"/>
            <charset val="128"/>
          </rPr>
          <t xml:space="preserve"> :</t>
        </r>
        <r>
          <rPr>
            <sz val="9"/>
            <color indexed="81"/>
            <rFont val="ＭＳ Ｐゴシック"/>
            <family val="3"/>
            <charset val="128"/>
          </rPr>
          <t xml:space="preserve">
</t>
        </r>
        <r>
          <rPr>
            <sz val="12"/>
            <color indexed="81"/>
            <rFont val="ＭＳ Ｐゴシック"/>
            <family val="3"/>
            <charset val="128"/>
          </rPr>
          <t>軒先は倍の長さ
を入れる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matsumoto</author>
  </authors>
  <commentList>
    <comment ref="V11" authorId="0" shapeId="0" xr:uid="{00000000-0006-0000-0900-000001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D13" authorId="1" shapeId="0" xr:uid="{00000000-0006-0000-0900-000002000000}">
      <text>
        <r>
          <rPr>
            <b/>
            <sz val="9"/>
            <color indexed="81"/>
            <rFont val="ＭＳ Ｐゴシック"/>
            <family val="3"/>
            <charset val="128"/>
          </rPr>
          <t>matsumoto:</t>
        </r>
        <r>
          <rPr>
            <sz val="9"/>
            <color indexed="81"/>
            <rFont val="ＭＳ Ｐゴシック"/>
            <family val="3"/>
            <charset val="128"/>
          </rPr>
          <t xml:space="preserve">
</t>
        </r>
        <r>
          <rPr>
            <sz val="12"/>
            <color indexed="81"/>
            <rFont val="ＭＳ Ｐゴシック"/>
            <family val="3"/>
            <charset val="128"/>
          </rPr>
          <t xml:space="preserve">覚えのため
特に記入の必要
なし
</t>
        </r>
      </text>
    </comment>
    <comment ref="F18" authorId="1" shapeId="0" xr:uid="{00000000-0006-0000-0900-000003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18" authorId="1" shapeId="0" xr:uid="{00000000-0006-0000-0900-000004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24" authorId="1" shapeId="0" xr:uid="{00000000-0006-0000-0900-000005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24" authorId="1" shapeId="0" xr:uid="{00000000-0006-0000-0900-000006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30" authorId="1" shapeId="0" xr:uid="{00000000-0006-0000-0900-000007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30" authorId="1" shapeId="0" xr:uid="{00000000-0006-0000-0900-000008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36" authorId="1" shapeId="0" xr:uid="{00000000-0006-0000-0900-000009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36" authorId="1" shapeId="0" xr:uid="{00000000-0006-0000-0900-00000A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42" authorId="1" shapeId="0" xr:uid="{00000000-0006-0000-0900-00000B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42" authorId="1" shapeId="0" xr:uid="{00000000-0006-0000-0900-00000C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W53" authorId="0" shapeId="0" xr:uid="{00000000-0006-0000-0900-00000D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F61" authorId="1" shapeId="0" xr:uid="{00000000-0006-0000-0900-00000E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61" authorId="1" shapeId="0" xr:uid="{00000000-0006-0000-0900-00000F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69" authorId="1" shapeId="0" xr:uid="{00000000-0006-0000-0900-000010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69" authorId="1" shapeId="0" xr:uid="{00000000-0006-0000-0900-000011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77" authorId="1" shapeId="0" xr:uid="{00000000-0006-0000-0900-000012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77" authorId="1" shapeId="0" xr:uid="{00000000-0006-0000-0900-000013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85" authorId="1" shapeId="0" xr:uid="{00000000-0006-0000-0900-000014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85" authorId="1" shapeId="0" xr:uid="{00000000-0006-0000-0900-000015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F93" authorId="1" shapeId="0" xr:uid="{00000000-0006-0000-0900-000016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 ref="G93" authorId="1" shapeId="0" xr:uid="{00000000-0006-0000-0900-000017000000}">
      <text>
        <r>
          <rPr>
            <b/>
            <sz val="9"/>
            <color indexed="81"/>
            <rFont val="ＭＳ Ｐゴシック"/>
            <family val="3"/>
            <charset val="128"/>
          </rPr>
          <t>matsumoto:</t>
        </r>
        <r>
          <rPr>
            <sz val="9"/>
            <color indexed="81"/>
            <rFont val="ＭＳ Ｐゴシック"/>
            <family val="3"/>
            <charset val="128"/>
          </rPr>
          <t xml:space="preserve">
場所が2階梁桁の場合
記入する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matsumoto</author>
  </authors>
  <commentList>
    <comment ref="V11" authorId="0" shapeId="0" xr:uid="{00000000-0006-0000-0A00-000001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D13" authorId="1" shapeId="0" xr:uid="{00000000-0006-0000-0A00-000002000000}">
      <text>
        <r>
          <rPr>
            <b/>
            <sz val="9"/>
            <color indexed="81"/>
            <rFont val="ＭＳ Ｐゴシック"/>
            <family val="3"/>
            <charset val="128"/>
          </rPr>
          <t>matsumoto:</t>
        </r>
        <r>
          <rPr>
            <sz val="9"/>
            <color indexed="81"/>
            <rFont val="ＭＳ Ｐゴシック"/>
            <family val="3"/>
            <charset val="128"/>
          </rPr>
          <t xml:space="preserve">
</t>
        </r>
        <r>
          <rPr>
            <sz val="12"/>
            <color indexed="81"/>
            <rFont val="ＭＳ Ｐゴシック"/>
            <family val="3"/>
            <charset val="128"/>
          </rPr>
          <t>覚えのため
特に記入の必要
なし</t>
        </r>
      </text>
    </comment>
    <comment ref="G14" authorId="1" shapeId="0" xr:uid="{00000000-0006-0000-0A00-000003000000}">
      <text>
        <r>
          <rPr>
            <sz val="9"/>
            <color indexed="81"/>
            <rFont val="ＭＳ Ｐゴシック"/>
            <family val="3"/>
            <charset val="128"/>
          </rPr>
          <t xml:space="preserve">
軒先、螻羽の時は2倍
の寸法を入れる</t>
        </r>
      </text>
    </comment>
    <comment ref="I14" authorId="1" shapeId="0" xr:uid="{00000000-0006-0000-0A00-000004000000}">
      <text>
        <r>
          <rPr>
            <sz val="9"/>
            <color indexed="81"/>
            <rFont val="ＭＳ Ｐゴシック"/>
            <family val="3"/>
            <charset val="128"/>
          </rPr>
          <t>軒先、螻羽の時は2倍
の寸法を入れる</t>
        </r>
      </text>
    </comment>
    <comment ref="F18" authorId="1" shapeId="0" xr:uid="{00000000-0006-0000-0A00-000005000000}">
      <text>
        <r>
          <rPr>
            <sz val="9"/>
            <color indexed="81"/>
            <rFont val="ＭＳ Ｐゴシック"/>
            <family val="3"/>
            <charset val="128"/>
          </rPr>
          <t xml:space="preserve">
場所が2階梁桁の場合
記入する</t>
        </r>
      </text>
    </comment>
    <comment ref="G18" authorId="1" shapeId="0" xr:uid="{00000000-0006-0000-0A00-000006000000}">
      <text>
        <r>
          <rPr>
            <sz val="9"/>
            <color indexed="81"/>
            <rFont val="ＭＳ Ｐゴシック"/>
            <family val="3"/>
            <charset val="128"/>
          </rPr>
          <t xml:space="preserve">
軒、螻羽の場合、2倍の
寸法を記入する。
下屋は間隔とする</t>
        </r>
      </text>
    </comment>
    <comment ref="F24" authorId="1" shapeId="0" xr:uid="{00000000-0006-0000-0A00-000007000000}">
      <text>
        <r>
          <rPr>
            <sz val="9"/>
            <color indexed="81"/>
            <rFont val="ＭＳ Ｐゴシック"/>
            <family val="3"/>
            <charset val="128"/>
          </rPr>
          <t xml:space="preserve">
場所が2階梁桁の場合
記入する</t>
        </r>
      </text>
    </comment>
    <comment ref="G24" authorId="1" shapeId="0" xr:uid="{00000000-0006-0000-0A00-000008000000}">
      <text>
        <r>
          <rPr>
            <sz val="9"/>
            <color indexed="81"/>
            <rFont val="ＭＳ Ｐゴシック"/>
            <family val="3"/>
            <charset val="128"/>
          </rPr>
          <t xml:space="preserve">
軒、螻羽の場合、2倍の
寸法を記入する。
下屋は間隔とする</t>
        </r>
      </text>
    </comment>
    <comment ref="F30" authorId="1" shapeId="0" xr:uid="{00000000-0006-0000-0A00-000009000000}">
      <text>
        <r>
          <rPr>
            <sz val="9"/>
            <color indexed="81"/>
            <rFont val="ＭＳ Ｐゴシック"/>
            <family val="3"/>
            <charset val="128"/>
          </rPr>
          <t xml:space="preserve">
場所が2階梁桁の場合
記入する</t>
        </r>
      </text>
    </comment>
    <comment ref="G30" authorId="1" shapeId="0" xr:uid="{00000000-0006-0000-0A00-00000A000000}">
      <text>
        <r>
          <rPr>
            <sz val="9"/>
            <color indexed="81"/>
            <rFont val="ＭＳ Ｐゴシック"/>
            <family val="3"/>
            <charset val="128"/>
          </rPr>
          <t xml:space="preserve">
軒、螻羽の場合、2倍の
寸法を記入する。
下屋は間隔とする</t>
        </r>
      </text>
    </comment>
    <comment ref="F36" authorId="1" shapeId="0" xr:uid="{00000000-0006-0000-0A00-00000B000000}">
      <text>
        <r>
          <rPr>
            <sz val="9"/>
            <color indexed="81"/>
            <rFont val="ＭＳ Ｐゴシック"/>
            <family val="3"/>
            <charset val="128"/>
          </rPr>
          <t xml:space="preserve">
場所が2階梁桁の場合
記入する</t>
        </r>
      </text>
    </comment>
    <comment ref="G36" authorId="1" shapeId="0" xr:uid="{00000000-0006-0000-0A00-00000C000000}">
      <text>
        <r>
          <rPr>
            <sz val="9"/>
            <color indexed="81"/>
            <rFont val="ＭＳ Ｐゴシック"/>
            <family val="3"/>
            <charset val="128"/>
          </rPr>
          <t xml:space="preserve">
軒、螻羽の場合、2倍の
寸法を記入する。
下屋は間隔とする</t>
        </r>
      </text>
    </comment>
    <comment ref="F42" authorId="1" shapeId="0" xr:uid="{00000000-0006-0000-0A00-00000D000000}">
      <text>
        <r>
          <rPr>
            <sz val="9"/>
            <color indexed="81"/>
            <rFont val="ＭＳ Ｐゴシック"/>
            <family val="3"/>
            <charset val="128"/>
          </rPr>
          <t xml:space="preserve">
場所が2階梁桁の場合
記入する</t>
        </r>
      </text>
    </comment>
    <comment ref="G42" authorId="1" shapeId="0" xr:uid="{00000000-0006-0000-0A00-00000E000000}">
      <text>
        <r>
          <rPr>
            <sz val="9"/>
            <color indexed="81"/>
            <rFont val="ＭＳ Ｐゴシック"/>
            <family val="3"/>
            <charset val="128"/>
          </rPr>
          <t xml:space="preserve">
軒、螻羽の場合、2倍の
寸法を記入する。
下屋は間隔とする</t>
        </r>
      </text>
    </comment>
    <comment ref="W53" authorId="0" shapeId="0" xr:uid="{00000000-0006-0000-0A00-00000F000000}">
      <text>
        <r>
          <rPr>
            <b/>
            <sz val="9"/>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材の支持間に
欠込みの有無
1.0=欠込みなし
0.9=片側欠込み
0.8=両側欠込み</t>
        </r>
      </text>
    </comment>
    <comment ref="F61" authorId="1" shapeId="0" xr:uid="{00000000-0006-0000-0A00-000010000000}">
      <text>
        <r>
          <rPr>
            <sz val="9"/>
            <color indexed="81"/>
            <rFont val="ＭＳ Ｐゴシック"/>
            <family val="3"/>
            <charset val="128"/>
          </rPr>
          <t xml:space="preserve">
場所が2階梁桁の場合
記入する</t>
        </r>
      </text>
    </comment>
    <comment ref="G61" authorId="1" shapeId="0" xr:uid="{00000000-0006-0000-0A00-000011000000}">
      <text>
        <r>
          <rPr>
            <sz val="9"/>
            <color indexed="81"/>
            <rFont val="ＭＳ Ｐゴシック"/>
            <family val="3"/>
            <charset val="128"/>
          </rPr>
          <t xml:space="preserve">
軒、螻羽の場合、2倍の
寸法を記入する。
下屋は間隔とする</t>
        </r>
      </text>
    </comment>
    <comment ref="F69" authorId="1" shapeId="0" xr:uid="{00000000-0006-0000-0A00-000012000000}">
      <text>
        <r>
          <rPr>
            <sz val="9"/>
            <color indexed="81"/>
            <rFont val="ＭＳ Ｐゴシック"/>
            <family val="3"/>
            <charset val="128"/>
          </rPr>
          <t xml:space="preserve">
場所が2階梁桁の場合
記入する</t>
        </r>
      </text>
    </comment>
    <comment ref="G69" authorId="1" shapeId="0" xr:uid="{00000000-0006-0000-0A00-000013000000}">
      <text>
        <r>
          <rPr>
            <sz val="9"/>
            <color indexed="81"/>
            <rFont val="ＭＳ Ｐゴシック"/>
            <family val="3"/>
            <charset val="128"/>
          </rPr>
          <t xml:space="preserve">
軒、螻羽の場合、2倍の
寸法を記入する。
下屋は間隔とする</t>
        </r>
      </text>
    </comment>
    <comment ref="F77" authorId="1" shapeId="0" xr:uid="{00000000-0006-0000-0A00-000014000000}">
      <text>
        <r>
          <rPr>
            <sz val="9"/>
            <color indexed="81"/>
            <rFont val="ＭＳ Ｐゴシック"/>
            <family val="3"/>
            <charset val="128"/>
          </rPr>
          <t xml:space="preserve">
場所が2階梁桁の場合
記入する</t>
        </r>
      </text>
    </comment>
    <comment ref="G77" authorId="1" shapeId="0" xr:uid="{00000000-0006-0000-0A00-000015000000}">
      <text>
        <r>
          <rPr>
            <sz val="9"/>
            <color indexed="81"/>
            <rFont val="ＭＳ Ｐゴシック"/>
            <family val="3"/>
            <charset val="128"/>
          </rPr>
          <t xml:space="preserve">
軒、螻羽の場合、2倍の
寸法を記入する。
下屋は間隔とする</t>
        </r>
      </text>
    </comment>
    <comment ref="F85" authorId="1" shapeId="0" xr:uid="{00000000-0006-0000-0A00-000016000000}">
      <text>
        <r>
          <rPr>
            <sz val="9"/>
            <color indexed="81"/>
            <rFont val="ＭＳ Ｐゴシック"/>
            <family val="3"/>
            <charset val="128"/>
          </rPr>
          <t xml:space="preserve">
場所が2階梁桁の場合
記入する</t>
        </r>
      </text>
    </comment>
    <comment ref="G85" authorId="1" shapeId="0" xr:uid="{00000000-0006-0000-0A00-000017000000}">
      <text>
        <r>
          <rPr>
            <sz val="9"/>
            <color indexed="81"/>
            <rFont val="ＭＳ Ｐゴシック"/>
            <family val="3"/>
            <charset val="128"/>
          </rPr>
          <t xml:space="preserve">
軒、螻羽の場合、2倍の
寸法を記入する。
下屋は間隔とする</t>
        </r>
      </text>
    </comment>
    <comment ref="F93" authorId="1" shapeId="0" xr:uid="{00000000-0006-0000-0A00-000018000000}">
      <text>
        <r>
          <rPr>
            <sz val="9"/>
            <color indexed="81"/>
            <rFont val="ＭＳ Ｐゴシック"/>
            <family val="3"/>
            <charset val="128"/>
          </rPr>
          <t xml:space="preserve">
場所が2階梁桁の場合
記入する</t>
        </r>
      </text>
    </comment>
    <comment ref="G93" authorId="1" shapeId="0" xr:uid="{00000000-0006-0000-0A00-000019000000}">
      <text>
        <r>
          <rPr>
            <sz val="9"/>
            <color indexed="81"/>
            <rFont val="ＭＳ Ｐゴシック"/>
            <family val="3"/>
            <charset val="128"/>
          </rPr>
          <t xml:space="preserve">
軒、螻羽の場合、2倍の
寸法を記入する。
下屋は間隔とする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1" authorId="0" shapeId="0" xr:uid="{00000000-0006-0000-0C00-000001000000}">
      <text>
        <r>
          <rPr>
            <b/>
            <sz val="9"/>
            <color indexed="81"/>
            <rFont val="ＭＳ Ｐゴシック"/>
            <family val="3"/>
            <charset val="128"/>
          </rPr>
          <t xml:space="preserve"> :</t>
        </r>
        <r>
          <rPr>
            <sz val="9"/>
            <color indexed="81"/>
            <rFont val="ＭＳ Ｐゴシック"/>
            <family val="3"/>
            <charset val="128"/>
          </rPr>
          <t xml:space="preserve">
</t>
        </r>
        <r>
          <rPr>
            <sz val="12"/>
            <color indexed="81"/>
            <rFont val="ＭＳ Ｐゴシック"/>
            <family val="3"/>
            <charset val="128"/>
          </rPr>
          <t xml:space="preserve">少数点入力
例  0.35
</t>
        </r>
      </text>
    </comment>
    <comment ref="D359" authorId="0" shapeId="0" xr:uid="{00000000-0006-0000-0C00-000002000000}">
      <text>
        <r>
          <rPr>
            <b/>
            <sz val="9"/>
            <color indexed="81"/>
            <rFont val="ＭＳ Ｐゴシック"/>
            <family val="3"/>
            <charset val="128"/>
          </rPr>
          <t xml:space="preserve"> :</t>
        </r>
        <r>
          <rPr>
            <sz val="9"/>
            <color indexed="81"/>
            <rFont val="ＭＳ Ｐゴシック"/>
            <family val="3"/>
            <charset val="128"/>
          </rPr>
          <t xml:space="preserve">
</t>
        </r>
        <r>
          <rPr>
            <sz val="12"/>
            <color indexed="81"/>
            <rFont val="ＭＳ Ｐゴシック"/>
            <family val="3"/>
            <charset val="128"/>
          </rPr>
          <t xml:space="preserve">例　0.35 
少数点で入力
</t>
        </r>
      </text>
    </comment>
  </commentList>
</comments>
</file>

<file path=xl/sharedStrings.xml><?xml version="1.0" encoding="utf-8"?>
<sst xmlns="http://schemas.openxmlformats.org/spreadsheetml/2006/main" count="7074" uniqueCount="1558">
  <si>
    <t>木材種決定</t>
    <rPh sb="0" eb="2">
      <t>モクザイ</t>
    </rPh>
    <rPh sb="2" eb="3">
      <t>シュ</t>
    </rPh>
    <rPh sb="3" eb="5">
      <t>ケッテイ</t>
    </rPh>
    <phoneticPr fontId="4"/>
  </si>
  <si>
    <t>圧縮</t>
    <rPh sb="0" eb="2">
      <t>アッシュク</t>
    </rPh>
    <phoneticPr fontId="4"/>
  </si>
  <si>
    <t>曲げ</t>
    <rPh sb="0" eb="1">
      <t>マ</t>
    </rPh>
    <phoneticPr fontId="4"/>
  </si>
  <si>
    <t>引張</t>
    <rPh sb="0" eb="2">
      <t>ヒッパ</t>
    </rPh>
    <phoneticPr fontId="4"/>
  </si>
  <si>
    <t>せん断</t>
    <rPh sb="2" eb="3">
      <t>ダン</t>
    </rPh>
    <phoneticPr fontId="4"/>
  </si>
  <si>
    <t>母屋</t>
    <rPh sb="0" eb="2">
      <t>モヤ</t>
    </rPh>
    <phoneticPr fontId="4"/>
  </si>
  <si>
    <t xml:space="preserve">  桧                             2</t>
    <rPh sb="2" eb="3">
      <t>ヒノキ</t>
    </rPh>
    <phoneticPr fontId="4"/>
  </si>
  <si>
    <t xml:space="preserve">  米松                           1</t>
    <rPh sb="2" eb="3">
      <t>コメ</t>
    </rPh>
    <rPh sb="3" eb="4">
      <t>マツ</t>
    </rPh>
    <phoneticPr fontId="4"/>
  </si>
  <si>
    <t xml:space="preserve">  杉                             3</t>
    <rPh sb="2" eb="3">
      <t>スギ</t>
    </rPh>
    <phoneticPr fontId="4"/>
  </si>
  <si>
    <t>黒松赤松                       4</t>
    <rPh sb="0" eb="1">
      <t>クロ</t>
    </rPh>
    <rPh sb="1" eb="2">
      <t>マツ</t>
    </rPh>
    <rPh sb="2" eb="3">
      <t>アカ</t>
    </rPh>
    <rPh sb="3" eb="4">
      <t>マツ</t>
    </rPh>
    <phoneticPr fontId="4"/>
  </si>
  <si>
    <t>無等級材</t>
    <rPh sb="0" eb="1">
      <t>ム</t>
    </rPh>
    <rPh sb="1" eb="3">
      <t>トウキュウ</t>
    </rPh>
    <rPh sb="3" eb="4">
      <t>ザイ</t>
    </rPh>
    <phoneticPr fontId="4"/>
  </si>
  <si>
    <t>米松</t>
    <rPh sb="0" eb="1">
      <t>コメ</t>
    </rPh>
    <rPh sb="1" eb="2">
      <t>マツ</t>
    </rPh>
    <phoneticPr fontId="4"/>
  </si>
  <si>
    <t>桧</t>
    <rPh sb="0" eb="1">
      <t>ヒノキ</t>
    </rPh>
    <phoneticPr fontId="4"/>
  </si>
  <si>
    <t>杉</t>
    <rPh sb="0" eb="1">
      <t>スギ</t>
    </rPh>
    <phoneticPr fontId="4"/>
  </si>
  <si>
    <t>黒松赤松</t>
    <rPh sb="0" eb="1">
      <t>クロ</t>
    </rPh>
    <rPh sb="1" eb="2">
      <t>マツ</t>
    </rPh>
    <rPh sb="2" eb="3">
      <t>アカ</t>
    </rPh>
    <rPh sb="3" eb="4">
      <t>マツ</t>
    </rPh>
    <phoneticPr fontId="4"/>
  </si>
  <si>
    <t>樹種</t>
    <rPh sb="0" eb="2">
      <t>ジュシュ</t>
    </rPh>
    <phoneticPr fontId="3"/>
  </si>
  <si>
    <t>区分</t>
    <rPh sb="0" eb="2">
      <t>クブン</t>
    </rPh>
    <phoneticPr fontId="3"/>
  </si>
  <si>
    <t>等級</t>
    <rPh sb="0" eb="2">
      <t>トウキュウ</t>
    </rPh>
    <phoneticPr fontId="3"/>
  </si>
  <si>
    <t>E</t>
    <phoneticPr fontId="3"/>
  </si>
  <si>
    <r>
      <t>基準強度(N/mm</t>
    </r>
    <r>
      <rPr>
        <vertAlign val="superscript"/>
        <sz val="10"/>
        <rFont val="ＭＳ 明朝"/>
        <family val="1"/>
        <charset val="128"/>
      </rPr>
      <t>2</t>
    </r>
    <r>
      <rPr>
        <sz val="12"/>
        <rFont val="ＭＳ 明朝"/>
        <family val="1"/>
        <charset val="128"/>
      </rPr>
      <t>)</t>
    </r>
    <rPh sb="0" eb="2">
      <t>キジュン</t>
    </rPh>
    <rPh sb="2" eb="4">
      <t>キョウド</t>
    </rPh>
    <phoneticPr fontId="3"/>
  </si>
  <si>
    <t>ﾔﾝｸﾞ係数</t>
    <rPh sb="4" eb="6">
      <t>ケイスウ</t>
    </rPh>
    <phoneticPr fontId="3"/>
  </si>
  <si>
    <t>区分なし</t>
    <rPh sb="0" eb="2">
      <t>クブン</t>
    </rPh>
    <phoneticPr fontId="3"/>
  </si>
  <si>
    <t>等級なし</t>
    <rPh sb="0" eb="2">
      <t>トウキュウ</t>
    </rPh>
    <phoneticPr fontId="3"/>
  </si>
  <si>
    <t>杉　　　　　　　　　　　　　　　　　　　　　　　　　　　　　　1</t>
    <rPh sb="0" eb="1">
      <t>スギ</t>
    </rPh>
    <phoneticPr fontId="3"/>
  </si>
  <si>
    <t>檜                                                     2</t>
    <rPh sb="0" eb="1">
      <t>ヒノキ</t>
    </rPh>
    <phoneticPr fontId="3"/>
  </si>
  <si>
    <t>米松                                                    3</t>
    <rPh sb="0" eb="1">
      <t>コメ</t>
    </rPh>
    <rPh sb="1" eb="2">
      <t>マツ</t>
    </rPh>
    <phoneticPr fontId="3"/>
  </si>
  <si>
    <t>赤松                                                   4</t>
    <rPh sb="0" eb="2">
      <t>アカマツ</t>
    </rPh>
    <phoneticPr fontId="3"/>
  </si>
  <si>
    <t>黒松                                             5</t>
    <rPh sb="0" eb="1">
      <t>クロ</t>
    </rPh>
    <rPh sb="1" eb="2">
      <t>マツ</t>
    </rPh>
    <phoneticPr fontId="3"/>
  </si>
  <si>
    <t>唐松                                                 6</t>
    <rPh sb="0" eb="2">
      <t>カラマツ</t>
    </rPh>
    <phoneticPr fontId="3"/>
  </si>
  <si>
    <t>ひば                                                      7</t>
    <phoneticPr fontId="3"/>
  </si>
  <si>
    <t>栂                                              8</t>
    <rPh sb="0" eb="1">
      <t>ツガ</t>
    </rPh>
    <phoneticPr fontId="3"/>
  </si>
  <si>
    <t>米栂                                             9</t>
    <rPh sb="0" eb="1">
      <t>コメ</t>
    </rPh>
    <rPh sb="1" eb="2">
      <t>ツガ</t>
    </rPh>
    <phoneticPr fontId="3"/>
  </si>
  <si>
    <t>もみ                                             10</t>
    <phoneticPr fontId="3"/>
  </si>
  <si>
    <t>蝦夷松                                           11</t>
    <rPh sb="0" eb="2">
      <t>エゾ</t>
    </rPh>
    <rPh sb="2" eb="3">
      <t>マツ</t>
    </rPh>
    <phoneticPr fontId="3"/>
  </si>
  <si>
    <t>とど松                                          12</t>
    <rPh sb="2" eb="3">
      <t>マツ</t>
    </rPh>
    <phoneticPr fontId="3"/>
  </si>
  <si>
    <t>樫                                            13</t>
    <rPh sb="0" eb="1">
      <t>カシ</t>
    </rPh>
    <phoneticPr fontId="3"/>
  </si>
  <si>
    <t>欅                                            14</t>
    <rPh sb="0" eb="1">
      <t>ケヤキ</t>
    </rPh>
    <phoneticPr fontId="3"/>
  </si>
  <si>
    <t>栗                                         15</t>
    <rPh sb="0" eb="1">
      <t>クリ</t>
    </rPh>
    <phoneticPr fontId="3"/>
  </si>
  <si>
    <t>楢                                            16</t>
    <rPh sb="0" eb="1">
      <t>ナラ</t>
    </rPh>
    <phoneticPr fontId="3"/>
  </si>
  <si>
    <t>ぶな                                          17</t>
    <phoneticPr fontId="3"/>
  </si>
  <si>
    <t>使用樹種</t>
    <rPh sb="0" eb="2">
      <t>シヨウ</t>
    </rPh>
    <rPh sb="2" eb="4">
      <t>ジュシュ</t>
    </rPh>
    <phoneticPr fontId="3"/>
  </si>
  <si>
    <t>準備計算</t>
    <rPh sb="0" eb="2">
      <t>ジュンビ</t>
    </rPh>
    <rPh sb="2" eb="4">
      <t>ケイサン</t>
    </rPh>
    <phoneticPr fontId="4"/>
  </si>
  <si>
    <t>仮定荷重及び外力</t>
    <rPh sb="0" eb="2">
      <t>カテイ</t>
    </rPh>
    <rPh sb="2" eb="4">
      <t>カジュウ</t>
    </rPh>
    <rPh sb="4" eb="5">
      <t>オヨ</t>
    </rPh>
    <rPh sb="6" eb="7">
      <t>ガイ</t>
    </rPh>
    <rPh sb="7" eb="8">
      <t>リキ</t>
    </rPh>
    <phoneticPr fontId="4"/>
  </si>
  <si>
    <t>(1)固定荷重(DL)</t>
    <rPh sb="3" eb="5">
      <t>コテイ</t>
    </rPh>
    <rPh sb="5" eb="7">
      <t>カジュウ</t>
    </rPh>
    <phoneticPr fontId="4"/>
  </si>
  <si>
    <t>N/㎡</t>
    <phoneticPr fontId="4"/>
  </si>
  <si>
    <t>屋根</t>
    <rPh sb="0" eb="2">
      <t>ヤネ</t>
    </rPh>
    <phoneticPr fontId="4"/>
  </si>
  <si>
    <t>天井</t>
    <rPh sb="0" eb="2">
      <t>テンジョウ</t>
    </rPh>
    <phoneticPr fontId="4"/>
  </si>
  <si>
    <t>N/㎡</t>
    <phoneticPr fontId="4"/>
  </si>
  <si>
    <t>２階床</t>
    <rPh sb="1" eb="2">
      <t>カイ</t>
    </rPh>
    <rPh sb="2" eb="3">
      <t>ユカ</t>
    </rPh>
    <phoneticPr fontId="4"/>
  </si>
  <si>
    <t>床梁</t>
    <rPh sb="0" eb="1">
      <t>ユカ</t>
    </rPh>
    <rPh sb="1" eb="2">
      <t>ハリ</t>
    </rPh>
    <phoneticPr fontId="4"/>
  </si>
  <si>
    <t>一般　　　　      150</t>
  </si>
  <si>
    <t>N/㎡</t>
    <phoneticPr fontId="4"/>
  </si>
  <si>
    <t>１階床</t>
    <rPh sb="1" eb="2">
      <t>カイ</t>
    </rPh>
    <rPh sb="2" eb="3">
      <t>ユカ</t>
    </rPh>
    <phoneticPr fontId="4"/>
  </si>
  <si>
    <t>大引</t>
    <rPh sb="0" eb="1">
      <t>ダイ</t>
    </rPh>
    <rPh sb="1" eb="2">
      <t>ヒ</t>
    </rPh>
    <phoneticPr fontId="4"/>
  </si>
  <si>
    <t>外仕上</t>
    <rPh sb="0" eb="1">
      <t>ソト</t>
    </rPh>
    <rPh sb="1" eb="3">
      <t>シア</t>
    </rPh>
    <phoneticPr fontId="4"/>
  </si>
  <si>
    <t>内仕上</t>
    <rPh sb="0" eb="1">
      <t>ウチ</t>
    </rPh>
    <rPh sb="1" eb="3">
      <t>シア</t>
    </rPh>
    <phoneticPr fontId="4"/>
  </si>
  <si>
    <t>ﾎﾞ-ﾄﾞ類           150</t>
  </si>
  <si>
    <t>N/㎡</t>
    <phoneticPr fontId="4"/>
  </si>
  <si>
    <t>(1)</t>
    <phoneticPr fontId="4"/>
  </si>
  <si>
    <r>
      <t>ﾌﾟﾗｽﾀｰ塗(木摺　</t>
    </r>
    <r>
      <rPr>
        <sz val="12"/>
        <rFont val="ＭＳ 明朝"/>
        <family val="1"/>
        <charset val="128"/>
      </rPr>
      <t xml:space="preserve">  </t>
    </r>
    <r>
      <rPr>
        <sz val="12"/>
        <rFont val="ＭＳ 明朝"/>
        <family val="1"/>
        <charset val="128"/>
      </rPr>
      <t xml:space="preserve">  400</t>
    </r>
    <rPh sb="6" eb="7">
      <t>ヌ</t>
    </rPh>
    <rPh sb="8" eb="9">
      <t>キ</t>
    </rPh>
    <rPh sb="9" eb="10">
      <t>ス</t>
    </rPh>
    <phoneticPr fontId="4"/>
  </si>
  <si>
    <t>(2)</t>
    <phoneticPr fontId="4"/>
  </si>
  <si>
    <t>真壁            850</t>
  </si>
  <si>
    <t>(2)積雪荷重(SL)</t>
    <rPh sb="3" eb="5">
      <t>セキセツ</t>
    </rPh>
    <rPh sb="5" eb="7">
      <t>カジュウ</t>
    </rPh>
    <phoneticPr fontId="4"/>
  </si>
  <si>
    <t>建築場所</t>
    <rPh sb="0" eb="2">
      <t>ケンチク</t>
    </rPh>
    <rPh sb="2" eb="4">
      <t>バショ</t>
    </rPh>
    <phoneticPr fontId="4"/>
  </si>
  <si>
    <t>村岡町      　　　　　2.0</t>
    <rPh sb="0" eb="2">
      <t>ムラオカ</t>
    </rPh>
    <rPh sb="2" eb="3">
      <t>チョウ</t>
    </rPh>
    <phoneticPr fontId="4"/>
  </si>
  <si>
    <t xml:space="preserve">  垂直最深積雪量:</t>
    <rPh sb="2" eb="4">
      <t>スイチョク</t>
    </rPh>
    <rPh sb="4" eb="6">
      <t>サイシン</t>
    </rPh>
    <rPh sb="6" eb="8">
      <t>セキセツ</t>
    </rPh>
    <rPh sb="8" eb="9">
      <t>リョウ</t>
    </rPh>
    <phoneticPr fontId="4"/>
  </si>
  <si>
    <t>m</t>
    <phoneticPr fontId="4"/>
  </si>
  <si>
    <t>有り                     1</t>
    <rPh sb="0" eb="1">
      <t>ア</t>
    </rPh>
    <phoneticPr fontId="4"/>
  </si>
  <si>
    <t>床用</t>
    <rPh sb="0" eb="1">
      <t>ユカ</t>
    </rPh>
    <rPh sb="1" eb="2">
      <t>ヨウ</t>
    </rPh>
    <phoneticPr fontId="4"/>
  </si>
  <si>
    <t>梁、柱用</t>
    <rPh sb="0" eb="1">
      <t>ハリ</t>
    </rPh>
    <rPh sb="2" eb="3">
      <t>ハシラ</t>
    </rPh>
    <rPh sb="3" eb="4">
      <t>ヨウ</t>
    </rPh>
    <phoneticPr fontId="4"/>
  </si>
  <si>
    <t>(3)積載荷重</t>
    <rPh sb="3" eb="5">
      <t>セキサイ</t>
    </rPh>
    <rPh sb="5" eb="7">
      <t>カジュウ</t>
    </rPh>
    <phoneticPr fontId="4"/>
  </si>
  <si>
    <t>(4)荷重一覧(N/㎡)</t>
    <rPh sb="3" eb="5">
      <t>カジュウ</t>
    </rPh>
    <rPh sb="5" eb="7">
      <t>イチラン</t>
    </rPh>
    <phoneticPr fontId="4"/>
  </si>
  <si>
    <t>位置</t>
    <rPh sb="0" eb="2">
      <t>イチ</t>
    </rPh>
    <phoneticPr fontId="4"/>
  </si>
  <si>
    <t>種別</t>
    <rPh sb="0" eb="2">
      <t>シュベツ</t>
    </rPh>
    <phoneticPr fontId="4"/>
  </si>
  <si>
    <t>屋根下地</t>
    <rPh sb="0" eb="2">
      <t>ヤネ</t>
    </rPh>
    <rPh sb="2" eb="3">
      <t>シタ</t>
    </rPh>
    <rPh sb="3" eb="4">
      <t>チ</t>
    </rPh>
    <phoneticPr fontId="4"/>
  </si>
  <si>
    <t>母屋用</t>
    <rPh sb="0" eb="2">
      <t>モヤ</t>
    </rPh>
    <rPh sb="2" eb="3">
      <t>ヨウ</t>
    </rPh>
    <phoneticPr fontId="4"/>
  </si>
  <si>
    <t>梁・柱用</t>
    <rPh sb="0" eb="1">
      <t>ハリ</t>
    </rPh>
    <rPh sb="2" eb="3">
      <t>ハシラ</t>
    </rPh>
    <rPh sb="3" eb="4">
      <t>ヨウ</t>
    </rPh>
    <phoneticPr fontId="4"/>
  </si>
  <si>
    <t>DL</t>
    <phoneticPr fontId="4"/>
  </si>
  <si>
    <t>床下地</t>
    <rPh sb="0" eb="1">
      <t>ユカ</t>
    </rPh>
    <rPh sb="1" eb="2">
      <t>シタ</t>
    </rPh>
    <rPh sb="2" eb="3">
      <t>チ</t>
    </rPh>
    <phoneticPr fontId="4"/>
  </si>
  <si>
    <t>2階床</t>
    <rPh sb="1" eb="2">
      <t>カイ</t>
    </rPh>
    <rPh sb="2" eb="3">
      <t>ユカ</t>
    </rPh>
    <phoneticPr fontId="4"/>
  </si>
  <si>
    <t>DL</t>
    <phoneticPr fontId="4"/>
  </si>
  <si>
    <t>土台基礎</t>
    <rPh sb="0" eb="2">
      <t>ドダイ</t>
    </rPh>
    <rPh sb="2" eb="4">
      <t>キソ</t>
    </rPh>
    <phoneticPr fontId="4"/>
  </si>
  <si>
    <t>1階床</t>
    <rPh sb="1" eb="2">
      <t>カイ</t>
    </rPh>
    <rPh sb="2" eb="3">
      <t>ユカ</t>
    </rPh>
    <phoneticPr fontId="4"/>
  </si>
  <si>
    <t>角度</t>
    <rPh sb="0" eb="2">
      <t>カクド</t>
    </rPh>
    <phoneticPr fontId="4"/>
  </si>
  <si>
    <t>香美町          32</t>
    <rPh sb="0" eb="1">
      <t>コウ</t>
    </rPh>
    <rPh sb="1" eb="2">
      <t>ビ</t>
    </rPh>
    <rPh sb="2" eb="3">
      <t>チョウ</t>
    </rPh>
    <phoneticPr fontId="4"/>
  </si>
  <si>
    <t xml:space="preserve">     有り　　　　　　　　　　　　　　　　1</t>
    <rPh sb="5" eb="6">
      <t>ア</t>
    </rPh>
    <phoneticPr fontId="4"/>
  </si>
  <si>
    <t xml:space="preserve">     無し　　　　　　　　　　　　　　　　2</t>
    <rPh sb="5" eb="6">
      <t>ム</t>
    </rPh>
    <phoneticPr fontId="4"/>
  </si>
  <si>
    <t>固定荷重</t>
  </si>
  <si>
    <t>屋根</t>
  </si>
  <si>
    <t>小屋間隔</t>
    <rPh sb="0" eb="2">
      <t>コヤ</t>
    </rPh>
    <rPh sb="2" eb="4">
      <t>カンカク</t>
    </rPh>
    <phoneticPr fontId="4"/>
  </si>
  <si>
    <t>天井</t>
  </si>
  <si>
    <t>下地共</t>
  </si>
  <si>
    <t>床</t>
  </si>
  <si>
    <t>壁</t>
    <rPh sb="0" eb="1">
      <t>カベ</t>
    </rPh>
    <phoneticPr fontId="4"/>
  </si>
  <si>
    <t>軸組</t>
    <rPh sb="0" eb="1">
      <t>ジク</t>
    </rPh>
    <rPh sb="1" eb="2">
      <t>クミ</t>
    </rPh>
    <phoneticPr fontId="4"/>
  </si>
  <si>
    <t>床</t>
    <rPh sb="0" eb="1">
      <t>ユカ</t>
    </rPh>
    <phoneticPr fontId="4"/>
  </si>
  <si>
    <t>梁柱</t>
    <rPh sb="0" eb="1">
      <t>ハリ</t>
    </rPh>
    <rPh sb="1" eb="2">
      <t>ハシラ</t>
    </rPh>
    <phoneticPr fontId="4"/>
  </si>
  <si>
    <t>地震</t>
    <rPh sb="0" eb="2">
      <t>ジシン</t>
    </rPh>
    <phoneticPr fontId="4"/>
  </si>
  <si>
    <t>積載荷重</t>
  </si>
  <si>
    <t>庫裏                2</t>
    <rPh sb="0" eb="2">
      <t>クリ</t>
    </rPh>
    <phoneticPr fontId="4"/>
  </si>
  <si>
    <t>庁舎                  27</t>
    <rPh sb="0" eb="2">
      <t>チョウシャ</t>
    </rPh>
    <phoneticPr fontId="4"/>
  </si>
  <si>
    <t>バ－,喫茶               57</t>
    <rPh sb="3" eb="5">
      <t>キッサ</t>
    </rPh>
    <phoneticPr fontId="4"/>
  </si>
  <si>
    <t>研究室                   59</t>
    <rPh sb="0" eb="2">
      <t>ケンキュウ</t>
    </rPh>
    <rPh sb="2" eb="3">
      <t>シツ</t>
    </rPh>
    <phoneticPr fontId="4"/>
  </si>
  <si>
    <t>書庫                   60</t>
    <rPh sb="0" eb="2">
      <t>ショコ</t>
    </rPh>
    <phoneticPr fontId="4"/>
  </si>
  <si>
    <t>2段床式書庫                 61</t>
    <rPh sb="1" eb="2">
      <t>ダン</t>
    </rPh>
    <rPh sb="2" eb="3">
      <t>ユカ</t>
    </rPh>
    <rPh sb="3" eb="4">
      <t>シキ</t>
    </rPh>
    <rPh sb="4" eb="6">
      <t>ショコ</t>
    </rPh>
    <phoneticPr fontId="4"/>
  </si>
  <si>
    <t>乗用車車庫                  62</t>
    <rPh sb="0" eb="3">
      <t>ジョウヨウシャ</t>
    </rPh>
    <rPh sb="3" eb="5">
      <t>シャコ</t>
    </rPh>
    <phoneticPr fontId="4"/>
  </si>
  <si>
    <t>自動車通路              64</t>
    <rPh sb="3" eb="5">
      <t>ツウロ</t>
    </rPh>
    <phoneticPr fontId="4"/>
  </si>
  <si>
    <t>豊岡市　　　　　32</t>
    <rPh sb="0" eb="2">
      <t>トヨオカ</t>
    </rPh>
    <rPh sb="2" eb="3">
      <t>シ</t>
    </rPh>
    <phoneticPr fontId="4"/>
  </si>
  <si>
    <t>多可町          32</t>
    <rPh sb="0" eb="2">
      <t>タカ</t>
    </rPh>
    <rPh sb="2" eb="3">
      <t>チョウ</t>
    </rPh>
    <phoneticPr fontId="4"/>
  </si>
  <si>
    <t>積雪(長期</t>
    <rPh sb="3" eb="5">
      <t>チョウキ</t>
    </rPh>
    <phoneticPr fontId="3"/>
  </si>
  <si>
    <t>生野町               0.5</t>
    <rPh sb="0" eb="2">
      <t>イクノ</t>
    </rPh>
    <rPh sb="2" eb="3">
      <t>チョウ</t>
    </rPh>
    <phoneticPr fontId="4"/>
  </si>
  <si>
    <t>養父市          32</t>
    <rPh sb="0" eb="2">
      <t>ヤブ</t>
    </rPh>
    <rPh sb="2" eb="3">
      <t>シ</t>
    </rPh>
    <phoneticPr fontId="4"/>
  </si>
  <si>
    <t>朝来町               0.5</t>
    <rPh sb="0" eb="2">
      <t>アサゴ</t>
    </rPh>
    <rPh sb="2" eb="3">
      <t>チョウ</t>
    </rPh>
    <phoneticPr fontId="4"/>
  </si>
  <si>
    <t>朝来市          32</t>
    <rPh sb="0" eb="2">
      <t>アサゴ</t>
    </rPh>
    <rPh sb="2" eb="3">
      <t>シ</t>
    </rPh>
    <phoneticPr fontId="4"/>
  </si>
  <si>
    <t>青垣町               0.5</t>
    <rPh sb="0" eb="1">
      <t>アオ</t>
    </rPh>
    <rPh sb="1" eb="2">
      <t>カキ</t>
    </rPh>
    <rPh sb="2" eb="3">
      <t>チョウ</t>
    </rPh>
    <phoneticPr fontId="4"/>
  </si>
  <si>
    <t>丹波市          32</t>
    <rPh sb="0" eb="2">
      <t>タンバ</t>
    </rPh>
    <rPh sb="2" eb="3">
      <t>シ</t>
    </rPh>
    <phoneticPr fontId="4"/>
  </si>
  <si>
    <t>多可町               0.4</t>
    <rPh sb="0" eb="2">
      <t>タカ</t>
    </rPh>
    <rPh sb="2" eb="3">
      <t>チョウ</t>
    </rPh>
    <phoneticPr fontId="4"/>
  </si>
  <si>
    <t>神崎町               0.4</t>
    <rPh sb="0" eb="2">
      <t>カンザキ</t>
    </rPh>
    <rPh sb="2" eb="3">
      <t>チョウ</t>
    </rPh>
    <phoneticPr fontId="4"/>
  </si>
  <si>
    <t>大河内町               0.4</t>
    <rPh sb="0" eb="1">
      <t>ダイ</t>
    </rPh>
    <rPh sb="1" eb="3">
      <t>カワチ</t>
    </rPh>
    <rPh sb="3" eb="4">
      <t>チョウ</t>
    </rPh>
    <phoneticPr fontId="4"/>
  </si>
  <si>
    <t>柏原町               0.4</t>
    <rPh sb="0" eb="2">
      <t>カイバラ</t>
    </rPh>
    <rPh sb="2" eb="3">
      <t>チョウ</t>
    </rPh>
    <phoneticPr fontId="4"/>
  </si>
  <si>
    <t>養父町      　　　　　1.0</t>
    <rPh sb="0" eb="2">
      <t>ヤブ</t>
    </rPh>
    <rPh sb="2" eb="3">
      <t>チョウ</t>
    </rPh>
    <phoneticPr fontId="4"/>
  </si>
  <si>
    <t>和田山町    　　　　　1.0</t>
    <rPh sb="0" eb="3">
      <t>ワダヤマ</t>
    </rPh>
    <rPh sb="3" eb="4">
      <t>チョウ</t>
    </rPh>
    <phoneticPr fontId="4"/>
  </si>
  <si>
    <t>山東町      　　　　　1.0</t>
    <rPh sb="0" eb="2">
      <t>サントウ</t>
    </rPh>
    <rPh sb="2" eb="3">
      <t>チョウ</t>
    </rPh>
    <phoneticPr fontId="4"/>
  </si>
  <si>
    <t>八鹿町      　　　　　1.5</t>
    <rPh sb="0" eb="2">
      <t>ヨウカ</t>
    </rPh>
    <rPh sb="2" eb="3">
      <t>チョウ</t>
    </rPh>
    <phoneticPr fontId="4"/>
  </si>
  <si>
    <t>大屋町      　　　　　1.5</t>
    <rPh sb="0" eb="2">
      <t>オオヤ</t>
    </rPh>
    <rPh sb="2" eb="3">
      <t>チョウ</t>
    </rPh>
    <phoneticPr fontId="4"/>
  </si>
  <si>
    <t>城崎町      　　　　　1.5</t>
    <rPh sb="0" eb="2">
      <t>キノサキ</t>
    </rPh>
    <rPh sb="2" eb="3">
      <t>チョウ</t>
    </rPh>
    <phoneticPr fontId="4"/>
  </si>
  <si>
    <t>竹野町      　　　　　1.5</t>
    <rPh sb="0" eb="2">
      <t>タケノ</t>
    </rPh>
    <rPh sb="2" eb="3">
      <t>チョウ</t>
    </rPh>
    <phoneticPr fontId="4"/>
  </si>
  <si>
    <t>香住町      　　　　　1.5</t>
    <rPh sb="0" eb="2">
      <t>カスミ</t>
    </rPh>
    <rPh sb="2" eb="3">
      <t>チョウ</t>
    </rPh>
    <phoneticPr fontId="4"/>
  </si>
  <si>
    <t>日高町大岡  　　　　　2.0</t>
    <rPh sb="0" eb="1">
      <t>ヒ</t>
    </rPh>
    <rPh sb="1" eb="2">
      <t>タカ</t>
    </rPh>
    <rPh sb="2" eb="3">
      <t>チョウ</t>
    </rPh>
    <rPh sb="3" eb="4">
      <t>ダイ</t>
    </rPh>
    <rPh sb="4" eb="5">
      <t>オカ</t>
    </rPh>
    <phoneticPr fontId="4"/>
  </si>
  <si>
    <t>日高町大田  　　　　　2.0</t>
    <rPh sb="0" eb="1">
      <t>ヒ</t>
    </rPh>
    <rPh sb="1" eb="2">
      <t>タカ</t>
    </rPh>
    <rPh sb="2" eb="3">
      <t>チョウ</t>
    </rPh>
    <rPh sb="3" eb="4">
      <t>ダイ</t>
    </rPh>
    <rPh sb="4" eb="5">
      <t>タ</t>
    </rPh>
    <phoneticPr fontId="4"/>
  </si>
  <si>
    <t>日高町名色  　　　　　2.0</t>
    <rPh sb="0" eb="1">
      <t>ヒ</t>
    </rPh>
    <rPh sb="1" eb="2">
      <t>タカ</t>
    </rPh>
    <rPh sb="2" eb="3">
      <t>チョウ</t>
    </rPh>
    <rPh sb="3" eb="4">
      <t>ナ</t>
    </rPh>
    <rPh sb="4" eb="5">
      <t>イロ</t>
    </rPh>
    <phoneticPr fontId="4"/>
  </si>
  <si>
    <t>無し　　　　　　　　　　 2</t>
    <rPh sb="0" eb="1">
      <t>ム</t>
    </rPh>
    <phoneticPr fontId="4"/>
  </si>
  <si>
    <t>日高町万場  　　　　　2.0</t>
    <rPh sb="0" eb="1">
      <t>ヒ</t>
    </rPh>
    <rPh sb="1" eb="2">
      <t>タカ</t>
    </rPh>
    <rPh sb="2" eb="3">
      <t>チョウ</t>
    </rPh>
    <rPh sb="3" eb="4">
      <t>マン</t>
    </rPh>
    <rPh sb="4" eb="5">
      <t>バ</t>
    </rPh>
    <phoneticPr fontId="4"/>
  </si>
  <si>
    <t>日高町栗栖野  　　　　　2.0</t>
    <rPh sb="0" eb="1">
      <t>ヒ</t>
    </rPh>
    <rPh sb="1" eb="2">
      <t>タカ</t>
    </rPh>
    <rPh sb="2" eb="3">
      <t>チョウ</t>
    </rPh>
    <rPh sb="3" eb="4">
      <t>クリ</t>
    </rPh>
    <rPh sb="4" eb="5">
      <t>ス</t>
    </rPh>
    <rPh sb="5" eb="6">
      <t>ノ</t>
    </rPh>
    <phoneticPr fontId="4"/>
  </si>
  <si>
    <t>日高町山田  　　　　　2.0</t>
    <rPh sb="0" eb="1">
      <t>ヒ</t>
    </rPh>
    <rPh sb="1" eb="2">
      <t>タカ</t>
    </rPh>
    <rPh sb="2" eb="3">
      <t>チョウ</t>
    </rPh>
    <rPh sb="3" eb="4">
      <t>ヤマ</t>
    </rPh>
    <rPh sb="4" eb="5">
      <t>タ</t>
    </rPh>
    <phoneticPr fontId="4"/>
  </si>
  <si>
    <t>日高町万刧  　　　　　2.0</t>
    <rPh sb="0" eb="1">
      <t>ヒ</t>
    </rPh>
    <rPh sb="1" eb="2">
      <t>タカ</t>
    </rPh>
    <rPh sb="2" eb="3">
      <t>チョウ</t>
    </rPh>
    <rPh sb="3" eb="4">
      <t>マン</t>
    </rPh>
    <rPh sb="4" eb="5">
      <t>オビヤ</t>
    </rPh>
    <phoneticPr fontId="4"/>
  </si>
  <si>
    <t>日高町稲葉  　　　　　2.0</t>
    <rPh sb="0" eb="1">
      <t>ヒ</t>
    </rPh>
    <rPh sb="1" eb="2">
      <t>タカ</t>
    </rPh>
    <rPh sb="2" eb="3">
      <t>チョウ</t>
    </rPh>
    <rPh sb="3" eb="5">
      <t>イナバ</t>
    </rPh>
    <phoneticPr fontId="4"/>
  </si>
  <si>
    <t>日高町水口  　　　　　2.0</t>
    <rPh sb="0" eb="1">
      <t>ヒ</t>
    </rPh>
    <rPh sb="1" eb="2">
      <t>タカ</t>
    </rPh>
    <rPh sb="2" eb="3">
      <t>チョウ</t>
    </rPh>
    <rPh sb="3" eb="4">
      <t>ミズ</t>
    </rPh>
    <rPh sb="4" eb="5">
      <t>クチ</t>
    </rPh>
    <phoneticPr fontId="4"/>
  </si>
  <si>
    <t>日高町東河内　　　　　　2.0</t>
    <rPh sb="0" eb="1">
      <t>ヒ</t>
    </rPh>
    <rPh sb="1" eb="2">
      <t>タカ</t>
    </rPh>
    <rPh sb="2" eb="3">
      <t>チョウ</t>
    </rPh>
    <rPh sb="3" eb="4">
      <t>ヒガシ</t>
    </rPh>
    <rPh sb="4" eb="6">
      <t>カワチ</t>
    </rPh>
    <phoneticPr fontId="4"/>
  </si>
  <si>
    <t>日高町      　　　　　1.5</t>
    <rPh sb="0" eb="1">
      <t>ヒ</t>
    </rPh>
    <rPh sb="1" eb="2">
      <t>タカ</t>
    </rPh>
    <rPh sb="2" eb="3">
      <t>チョウ</t>
    </rPh>
    <phoneticPr fontId="4"/>
  </si>
  <si>
    <t>出石町      　　　　　1.5</t>
    <rPh sb="0" eb="2">
      <t>イズシ</t>
    </rPh>
    <rPh sb="2" eb="3">
      <t>チョウ</t>
    </rPh>
    <phoneticPr fontId="4"/>
  </si>
  <si>
    <t>但東町      　　　　　1.5</t>
    <rPh sb="0" eb="2">
      <t>タントウ</t>
    </rPh>
    <rPh sb="2" eb="3">
      <t>チョウ</t>
    </rPh>
    <phoneticPr fontId="4"/>
  </si>
  <si>
    <t>浜坂町      　　　　　1.5</t>
    <rPh sb="0" eb="2">
      <t>ハマサカ</t>
    </rPh>
    <rPh sb="2" eb="3">
      <t>チョウ</t>
    </rPh>
    <phoneticPr fontId="4"/>
  </si>
  <si>
    <t>豊岡　　　　　　　　　1.5</t>
    <rPh sb="0" eb="2">
      <t>トヨオカ</t>
    </rPh>
    <phoneticPr fontId="4"/>
  </si>
  <si>
    <t>温泉町歌長      　　　　　1.5</t>
    <rPh sb="0" eb="2">
      <t>オンセン</t>
    </rPh>
    <rPh sb="2" eb="3">
      <t>チョウ</t>
    </rPh>
    <rPh sb="3" eb="4">
      <t>ウタ</t>
    </rPh>
    <rPh sb="4" eb="5">
      <t>ナガ</t>
    </rPh>
    <phoneticPr fontId="4"/>
  </si>
  <si>
    <t>温泉町数久谷      　　　　　1.5</t>
    <rPh sb="0" eb="2">
      <t>オンセン</t>
    </rPh>
    <rPh sb="2" eb="3">
      <t>チョウ</t>
    </rPh>
    <rPh sb="3" eb="4">
      <t>カズ</t>
    </rPh>
    <rPh sb="4" eb="5">
      <t>ク</t>
    </rPh>
    <rPh sb="5" eb="6">
      <t>タニ</t>
    </rPh>
    <phoneticPr fontId="4"/>
  </si>
  <si>
    <t>温泉町湯      　　　　　1.5</t>
    <rPh sb="0" eb="2">
      <t>オンセン</t>
    </rPh>
    <rPh sb="2" eb="3">
      <t>チョウ</t>
    </rPh>
    <rPh sb="3" eb="4">
      <t>ユ</t>
    </rPh>
    <phoneticPr fontId="4"/>
  </si>
  <si>
    <t>温泉町細田      　　　　　1.5</t>
    <rPh sb="0" eb="2">
      <t>オンセン</t>
    </rPh>
    <rPh sb="2" eb="3">
      <t>チョウ</t>
    </rPh>
    <rPh sb="3" eb="4">
      <t>ホソ</t>
    </rPh>
    <rPh sb="4" eb="5">
      <t>タ</t>
    </rPh>
    <phoneticPr fontId="4"/>
  </si>
  <si>
    <t>温泉町竹田      　　　　　1.5</t>
    <rPh sb="0" eb="2">
      <t>オンセン</t>
    </rPh>
    <rPh sb="2" eb="3">
      <t>チョウ</t>
    </rPh>
    <rPh sb="3" eb="5">
      <t>タケダ</t>
    </rPh>
    <phoneticPr fontId="4"/>
  </si>
  <si>
    <t>温泉町井土      　　　　　1.5</t>
    <rPh sb="0" eb="2">
      <t>オンセン</t>
    </rPh>
    <rPh sb="2" eb="3">
      <t>チョウ</t>
    </rPh>
    <rPh sb="3" eb="4">
      <t>イ</t>
    </rPh>
    <rPh sb="4" eb="5">
      <t>ツチ</t>
    </rPh>
    <phoneticPr fontId="4"/>
  </si>
  <si>
    <t>温泉町今岡      　　　　　1.5</t>
    <rPh sb="0" eb="2">
      <t>オンセン</t>
    </rPh>
    <rPh sb="2" eb="3">
      <t>チョウ</t>
    </rPh>
    <rPh sb="3" eb="5">
      <t>イマオカ</t>
    </rPh>
    <phoneticPr fontId="4"/>
  </si>
  <si>
    <t>温泉町金屋      　　　　　1.5</t>
    <rPh sb="0" eb="2">
      <t>オンセン</t>
    </rPh>
    <rPh sb="2" eb="3">
      <t>チョウ</t>
    </rPh>
    <rPh sb="3" eb="4">
      <t>キン</t>
    </rPh>
    <rPh sb="4" eb="5">
      <t>ヤ</t>
    </rPh>
    <phoneticPr fontId="4"/>
  </si>
  <si>
    <t>温泉町熊谷      　　　　　1.5</t>
    <rPh sb="0" eb="2">
      <t>オンセン</t>
    </rPh>
    <rPh sb="2" eb="3">
      <t>チョウ</t>
    </rPh>
    <rPh sb="3" eb="4">
      <t>クマ</t>
    </rPh>
    <rPh sb="4" eb="5">
      <t>タニ</t>
    </rPh>
    <phoneticPr fontId="4"/>
  </si>
  <si>
    <t>温泉町伊角      　　　　　1.5</t>
    <rPh sb="0" eb="2">
      <t>オンセン</t>
    </rPh>
    <rPh sb="2" eb="3">
      <t>チョウ</t>
    </rPh>
    <rPh sb="3" eb="4">
      <t>イ</t>
    </rPh>
    <rPh sb="4" eb="5">
      <t>カク</t>
    </rPh>
    <phoneticPr fontId="4"/>
  </si>
  <si>
    <t>温泉町      　　　　　2.0</t>
    <rPh sb="0" eb="2">
      <t>オンセン</t>
    </rPh>
    <rPh sb="2" eb="3">
      <t>チョウ</t>
    </rPh>
    <phoneticPr fontId="4"/>
  </si>
  <si>
    <t>関宮町      　　　　　2.0</t>
    <rPh sb="0" eb="1">
      <t>セキ</t>
    </rPh>
    <rPh sb="1" eb="2">
      <t>ミヤ</t>
    </rPh>
    <rPh sb="2" eb="3">
      <t>チョウ</t>
    </rPh>
    <phoneticPr fontId="4"/>
  </si>
  <si>
    <t>美方町      　　　　　2.0</t>
    <rPh sb="0" eb="2">
      <t>ミカタ</t>
    </rPh>
    <rPh sb="2" eb="3">
      <t>チョウ</t>
    </rPh>
    <phoneticPr fontId="4"/>
  </si>
  <si>
    <t>兵庫県内               0.3</t>
    <rPh sb="0" eb="3">
      <t>ヒョウゴケン</t>
    </rPh>
    <rPh sb="3" eb="4">
      <t>ナイ</t>
    </rPh>
    <phoneticPr fontId="4"/>
  </si>
  <si>
    <t>地　　域</t>
    <rPh sb="0" eb="1">
      <t>チ</t>
    </rPh>
    <rPh sb="3" eb="4">
      <t>イキ</t>
    </rPh>
    <phoneticPr fontId="3"/>
  </si>
  <si>
    <t>多雪地域　　　　　　　 1</t>
    <rPh sb="0" eb="1">
      <t>タ</t>
    </rPh>
    <rPh sb="1" eb="2">
      <t>ユキ</t>
    </rPh>
    <rPh sb="2" eb="4">
      <t>チイキ</t>
    </rPh>
    <phoneticPr fontId="3"/>
  </si>
  <si>
    <t>一般地域               2</t>
    <rPh sb="0" eb="2">
      <t>イッパン</t>
    </rPh>
    <rPh sb="2" eb="4">
      <t>チイキ</t>
    </rPh>
    <phoneticPr fontId="3"/>
  </si>
  <si>
    <t>区域</t>
    <rPh sb="0" eb="2">
      <t>クイキ</t>
    </rPh>
    <phoneticPr fontId="3"/>
  </si>
  <si>
    <t>積雪量</t>
    <rPh sb="0" eb="1">
      <t>セキ</t>
    </rPh>
    <rPh sb="1" eb="2">
      <t>セツ</t>
    </rPh>
    <rPh sb="2" eb="3">
      <t>リョウ</t>
    </rPh>
    <phoneticPr fontId="3"/>
  </si>
  <si>
    <t>×</t>
    <phoneticPr fontId="3"/>
  </si>
  <si>
    <t>母屋</t>
    <rPh sb="0" eb="2">
      <t>モヤ</t>
    </rPh>
    <phoneticPr fontId="3"/>
  </si>
  <si>
    <t>判定</t>
    <rPh sb="0" eb="2">
      <t>ハンテイ</t>
    </rPh>
    <phoneticPr fontId="3"/>
  </si>
  <si>
    <t>たわみ制限</t>
    <rPh sb="3" eb="5">
      <t>セイゲン</t>
    </rPh>
    <phoneticPr fontId="3"/>
  </si>
  <si>
    <t>部位</t>
    <rPh sb="0" eb="1">
      <t>ブ</t>
    </rPh>
    <rPh sb="1" eb="2">
      <t>イ</t>
    </rPh>
    <phoneticPr fontId="3"/>
  </si>
  <si>
    <t>長期</t>
    <rPh sb="0" eb="2">
      <t>チョウキ</t>
    </rPh>
    <phoneticPr fontId="3"/>
  </si>
  <si>
    <t>雪長期</t>
    <rPh sb="0" eb="1">
      <t>ユキ</t>
    </rPh>
    <rPh sb="1" eb="3">
      <t>チョウキ</t>
    </rPh>
    <phoneticPr fontId="3"/>
  </si>
  <si>
    <t>雪短期</t>
    <rPh sb="0" eb="1">
      <t>ユキ</t>
    </rPh>
    <rPh sb="1" eb="3">
      <t>タンキ</t>
    </rPh>
    <phoneticPr fontId="3"/>
  </si>
  <si>
    <r>
      <t xml:space="preserve">床小梁 </t>
    </r>
    <r>
      <rPr>
        <sz val="12"/>
        <rFont val="ＭＳ 明朝"/>
        <family val="1"/>
        <charset val="128"/>
      </rPr>
      <t xml:space="preserve">                              5</t>
    </r>
    <rPh sb="0" eb="1">
      <t>ユカ</t>
    </rPh>
    <rPh sb="1" eb="2">
      <t>コ</t>
    </rPh>
    <rPh sb="2" eb="3">
      <t>ハリ</t>
    </rPh>
    <phoneticPr fontId="3"/>
  </si>
  <si>
    <r>
      <t xml:space="preserve">小屋梁 </t>
    </r>
    <r>
      <rPr>
        <sz val="12"/>
        <rFont val="ＭＳ 明朝"/>
        <family val="1"/>
        <charset val="128"/>
      </rPr>
      <t xml:space="preserve">                                6</t>
    </r>
    <rPh sb="0" eb="2">
      <t>コヤ</t>
    </rPh>
    <rPh sb="2" eb="3">
      <t>ハリ</t>
    </rPh>
    <phoneticPr fontId="3"/>
  </si>
  <si>
    <r>
      <t xml:space="preserve">軒桁 </t>
    </r>
    <r>
      <rPr>
        <sz val="12"/>
        <rFont val="ＭＳ 明朝"/>
        <family val="1"/>
        <charset val="128"/>
      </rPr>
      <t xml:space="preserve">                                 7</t>
    </r>
    <rPh sb="0" eb="1">
      <t>ノキ</t>
    </rPh>
    <rPh sb="1" eb="2">
      <t>ケタ</t>
    </rPh>
    <phoneticPr fontId="3"/>
  </si>
  <si>
    <r>
      <t xml:space="preserve">床梁 </t>
    </r>
    <r>
      <rPr>
        <sz val="12"/>
        <rFont val="ＭＳ 明朝"/>
        <family val="1"/>
        <charset val="128"/>
      </rPr>
      <t xml:space="preserve">                               8</t>
    </r>
    <rPh sb="0" eb="1">
      <t>ユカ</t>
    </rPh>
    <rPh sb="1" eb="2">
      <t>ハリ</t>
    </rPh>
    <phoneticPr fontId="3"/>
  </si>
  <si>
    <r>
      <t xml:space="preserve">胴差 </t>
    </r>
    <r>
      <rPr>
        <sz val="12"/>
        <rFont val="ＭＳ 明朝"/>
        <family val="1"/>
        <charset val="128"/>
      </rPr>
      <t xml:space="preserve">                                9</t>
    </r>
    <rPh sb="0" eb="1">
      <t>ドウ</t>
    </rPh>
    <rPh sb="1" eb="2">
      <t>サ</t>
    </rPh>
    <phoneticPr fontId="3"/>
  </si>
  <si>
    <t>部材断面の低減</t>
    <rPh sb="0" eb="1">
      <t>ブ</t>
    </rPh>
    <rPh sb="1" eb="2">
      <t>ザイ</t>
    </rPh>
    <rPh sb="2" eb="4">
      <t>ダンメン</t>
    </rPh>
    <rPh sb="5" eb="7">
      <t>テイゲン</t>
    </rPh>
    <phoneticPr fontId="3"/>
  </si>
  <si>
    <t>ｽﾊﾟﾝ中間で片面に他の梁の仕口があ</t>
    <rPh sb="4" eb="6">
      <t>チュウカン</t>
    </rPh>
    <rPh sb="7" eb="9">
      <t>カタメン</t>
    </rPh>
    <rPh sb="10" eb="11">
      <t>タ</t>
    </rPh>
    <rPh sb="12" eb="13">
      <t>ハリ</t>
    </rPh>
    <rPh sb="14" eb="15">
      <t>シ</t>
    </rPh>
    <rPh sb="15" eb="16">
      <t>クチ</t>
    </rPh>
    <phoneticPr fontId="3"/>
  </si>
  <si>
    <t>ｽﾊﾟﾝ中間で両面に他の梁の仕口があ</t>
    <rPh sb="4" eb="6">
      <t>チュウカン</t>
    </rPh>
    <rPh sb="7" eb="8">
      <t>リョウ</t>
    </rPh>
    <rPh sb="8" eb="9">
      <t>ニ</t>
    </rPh>
    <rPh sb="10" eb="11">
      <t>タ</t>
    </rPh>
    <rPh sb="12" eb="13">
      <t>ハリ</t>
    </rPh>
    <rPh sb="14" eb="15">
      <t>シ</t>
    </rPh>
    <rPh sb="15" eb="16">
      <t>クチ</t>
    </rPh>
    <phoneticPr fontId="3"/>
  </si>
  <si>
    <r>
      <t>根太堀りがある場合1</t>
    </r>
    <r>
      <rPr>
        <sz val="12"/>
        <rFont val="ＭＳ 明朝"/>
        <family val="1"/>
        <charset val="128"/>
      </rPr>
      <t>0%低減(Z,I)</t>
    </r>
    <rPh sb="0" eb="1">
      <t>ネ</t>
    </rPh>
    <rPh sb="1" eb="2">
      <t>タ</t>
    </rPh>
    <rPh sb="2" eb="3">
      <t>ホリ</t>
    </rPh>
    <rPh sb="7" eb="9">
      <t>バアイ</t>
    </rPh>
    <rPh sb="12" eb="14">
      <t>テイゲン</t>
    </rPh>
    <phoneticPr fontId="3"/>
  </si>
  <si>
    <r>
      <t>る場合1</t>
    </r>
    <r>
      <rPr>
        <sz val="12"/>
        <rFont val="ＭＳ 明朝"/>
        <family val="1"/>
        <charset val="128"/>
      </rPr>
      <t>0%低減(Z,I)</t>
    </r>
    <rPh sb="1" eb="3">
      <t>バアイ</t>
    </rPh>
    <rPh sb="6" eb="8">
      <t>テイゲン</t>
    </rPh>
    <phoneticPr fontId="3"/>
  </si>
  <si>
    <r>
      <t>る場合</t>
    </r>
    <r>
      <rPr>
        <sz val="12"/>
        <rFont val="ＭＳ 明朝"/>
        <family val="1"/>
        <charset val="128"/>
      </rPr>
      <t>20%低減(Z,I)</t>
    </r>
    <rPh sb="1" eb="3">
      <t>バアイ</t>
    </rPh>
    <rPh sb="6" eb="8">
      <t>テイゲン</t>
    </rPh>
    <phoneticPr fontId="3"/>
  </si>
  <si>
    <t>せん断力検討時</t>
    <rPh sb="2" eb="3">
      <t>ダン</t>
    </rPh>
    <rPh sb="3" eb="4">
      <t>リキ</t>
    </rPh>
    <rPh sb="4" eb="6">
      <t>ケントウ</t>
    </rPh>
    <rPh sb="6" eb="7">
      <t>トキ</t>
    </rPh>
    <phoneticPr fontId="3"/>
  </si>
  <si>
    <r>
      <t>有効断面積A</t>
    </r>
    <r>
      <rPr>
        <sz val="12"/>
        <rFont val="ＭＳ 明朝"/>
        <family val="1"/>
        <charset val="128"/>
      </rPr>
      <t>e=Ao</t>
    </r>
    <r>
      <rPr>
        <vertAlign val="superscript"/>
        <sz val="10"/>
        <rFont val="ＭＳ 明朝"/>
        <family val="1"/>
        <charset val="128"/>
      </rPr>
      <t>2</t>
    </r>
    <r>
      <rPr>
        <sz val="12"/>
        <rFont val="ＭＳ 明朝"/>
        <family val="1"/>
        <charset val="128"/>
      </rPr>
      <t>/</t>
    </r>
    <r>
      <rPr>
        <sz val="12"/>
        <rFont val="ＭＳ 明朝"/>
        <family val="1"/>
        <charset val="128"/>
      </rPr>
      <t>bd</t>
    </r>
    <rPh sb="0" eb="2">
      <t>ユウコウ</t>
    </rPh>
    <rPh sb="2" eb="5">
      <t>ダンメンセキ</t>
    </rPh>
    <phoneticPr fontId="3"/>
  </si>
  <si>
    <t>/10</t>
    <phoneticPr fontId="3"/>
  </si>
  <si>
    <t>有り　　　　　　　　　　　　　　1</t>
    <rPh sb="0" eb="1">
      <t>ア</t>
    </rPh>
    <phoneticPr fontId="3"/>
  </si>
  <si>
    <t>ｽﾊﾟﾝ2.0m以下　　      50</t>
    <rPh sb="8" eb="10">
      <t>イカ</t>
    </rPh>
    <phoneticPr fontId="4"/>
  </si>
  <si>
    <t>ｽﾊﾟﾝ4.0m以下　　      100　</t>
    <rPh sb="8" eb="10">
      <t>イカ</t>
    </rPh>
    <phoneticPr fontId="4"/>
  </si>
  <si>
    <t>曲げ</t>
    <rPh sb="0" eb="1">
      <t>マ</t>
    </rPh>
    <phoneticPr fontId="3"/>
  </si>
  <si>
    <t>たわみ</t>
    <phoneticPr fontId="3"/>
  </si>
  <si>
    <t>屋根形状係数</t>
    <rPh sb="0" eb="2">
      <t>ヤネ</t>
    </rPh>
    <rPh sb="2" eb="4">
      <t>ケイジョウ</t>
    </rPh>
    <rPh sb="4" eb="6">
      <t>ケイスウ</t>
    </rPh>
    <phoneticPr fontId="3"/>
  </si>
  <si>
    <t>μB</t>
    <phoneticPr fontId="4"/>
  </si>
  <si>
    <t>設計条件</t>
    <rPh sb="0" eb="2">
      <t>セッケイ</t>
    </rPh>
    <rPh sb="2" eb="4">
      <t>ジョウケン</t>
    </rPh>
    <phoneticPr fontId="3"/>
  </si>
  <si>
    <t>断面算定</t>
    <rPh sb="0" eb="2">
      <t>ダンメン</t>
    </rPh>
    <rPh sb="2" eb="4">
      <t>サンテイ</t>
    </rPh>
    <phoneticPr fontId="3"/>
  </si>
  <si>
    <r>
      <t>σb</t>
    </r>
    <r>
      <rPr>
        <sz val="12"/>
        <rFont val="ＭＳ 明朝"/>
        <family val="1"/>
        <charset val="128"/>
      </rPr>
      <t>/fb</t>
    </r>
    <phoneticPr fontId="4"/>
  </si>
  <si>
    <r>
      <t>δ/δ</t>
    </r>
    <r>
      <rPr>
        <sz val="12"/>
        <rFont val="ＭＳ 明朝"/>
        <family val="1"/>
        <charset val="128"/>
      </rPr>
      <t>'</t>
    </r>
    <phoneticPr fontId="4"/>
  </si>
  <si>
    <t>ｽﾊﾟﾝ(m)       L</t>
    <phoneticPr fontId="3"/>
  </si>
  <si>
    <r>
      <t>垂木堀りがある場合</t>
    </r>
    <r>
      <rPr>
        <sz val="12"/>
        <rFont val="ＭＳ 明朝"/>
        <family val="1"/>
        <charset val="128"/>
      </rPr>
      <t>5</t>
    </r>
    <r>
      <rPr>
        <sz val="12"/>
        <rFont val="ＭＳ 明朝"/>
        <family val="1"/>
        <charset val="128"/>
      </rPr>
      <t>%低減(Z,I)</t>
    </r>
    <rPh sb="0" eb="2">
      <t>タルキ</t>
    </rPh>
    <rPh sb="2" eb="3">
      <t>ホリ</t>
    </rPh>
    <rPh sb="7" eb="9">
      <t>バアイ</t>
    </rPh>
    <rPh sb="11" eb="13">
      <t>テイゲン</t>
    </rPh>
    <phoneticPr fontId="3"/>
  </si>
  <si>
    <r>
      <t>σb</t>
    </r>
    <r>
      <rPr>
        <sz val="12"/>
        <rFont val="ＭＳ 明朝"/>
        <family val="1"/>
        <charset val="128"/>
      </rPr>
      <t>/fb</t>
    </r>
    <phoneticPr fontId="4"/>
  </si>
  <si>
    <t>長   期</t>
    <rPh sb="0" eb="1">
      <t>チョウ</t>
    </rPh>
    <rPh sb="4" eb="5">
      <t>キ</t>
    </rPh>
    <phoneticPr fontId="3"/>
  </si>
  <si>
    <t>短   期</t>
    <rPh sb="0" eb="1">
      <t>タン</t>
    </rPh>
    <rPh sb="4" eb="5">
      <t>キ</t>
    </rPh>
    <phoneticPr fontId="3"/>
  </si>
  <si>
    <t>長期w</t>
    <rPh sb="0" eb="2">
      <t>チョウキ</t>
    </rPh>
    <phoneticPr fontId="3"/>
  </si>
  <si>
    <t>短期w</t>
    <rPh sb="0" eb="1">
      <t>タン</t>
    </rPh>
    <rPh sb="1" eb="2">
      <t>キ</t>
    </rPh>
    <phoneticPr fontId="3"/>
  </si>
  <si>
    <t>短期</t>
    <rPh sb="0" eb="1">
      <t>タン</t>
    </rPh>
    <rPh sb="1" eb="2">
      <t>キ</t>
    </rPh>
    <phoneticPr fontId="3"/>
  </si>
  <si>
    <t>たわみ用</t>
    <rPh sb="3" eb="4">
      <t>ヨウ</t>
    </rPh>
    <phoneticPr fontId="4"/>
  </si>
  <si>
    <t>長期荷重用</t>
    <rPh sb="0" eb="2">
      <t>チョウキ</t>
    </rPh>
    <rPh sb="2" eb="4">
      <t>カジュウ</t>
    </rPh>
    <rPh sb="4" eb="5">
      <t>ヨウ</t>
    </rPh>
    <phoneticPr fontId="4"/>
  </si>
  <si>
    <t>短期荷重用</t>
    <rPh sb="0" eb="1">
      <t>タン</t>
    </rPh>
    <rPh sb="1" eb="2">
      <t>キ</t>
    </rPh>
    <rPh sb="2" eb="4">
      <t>カジュウ</t>
    </rPh>
    <rPh sb="4" eb="5">
      <t>ヨウ</t>
    </rPh>
    <phoneticPr fontId="4"/>
  </si>
  <si>
    <t>品格法等級</t>
    <rPh sb="0" eb="2">
      <t>ヒンカク</t>
    </rPh>
    <rPh sb="2" eb="3">
      <t>ホウ</t>
    </rPh>
    <rPh sb="3" eb="5">
      <t>トウキュウ</t>
    </rPh>
    <phoneticPr fontId="3"/>
  </si>
  <si>
    <t>級</t>
    <rPh sb="0" eb="1">
      <t>キュウ</t>
    </rPh>
    <phoneticPr fontId="3"/>
  </si>
  <si>
    <t>長期積雪</t>
    <rPh sb="0" eb="2">
      <t>チョウキ</t>
    </rPh>
    <rPh sb="2" eb="3">
      <t>セキ</t>
    </rPh>
    <rPh sb="3" eb="4">
      <t>セツ</t>
    </rPh>
    <phoneticPr fontId="3"/>
  </si>
  <si>
    <t>短期積雪</t>
    <rPh sb="0" eb="1">
      <t>タン</t>
    </rPh>
    <rPh sb="1" eb="2">
      <t>キ</t>
    </rPh>
    <rPh sb="2" eb="3">
      <t>セキ</t>
    </rPh>
    <rPh sb="3" eb="4">
      <t>セツ</t>
    </rPh>
    <phoneticPr fontId="3"/>
  </si>
  <si>
    <t>ｼｽﾃﾑ係数</t>
    <rPh sb="4" eb="6">
      <t>ケイスウ</t>
    </rPh>
    <phoneticPr fontId="3"/>
  </si>
  <si>
    <t>Fsys</t>
    <phoneticPr fontId="3"/>
  </si>
  <si>
    <t>合板張　　　　　　　　　　　1.25</t>
    <rPh sb="0" eb="1">
      <t>ゴウ</t>
    </rPh>
    <rPh sb="1" eb="2">
      <t>イタ</t>
    </rPh>
    <rPh sb="2" eb="3">
      <t>ハリ</t>
    </rPh>
    <phoneticPr fontId="3"/>
  </si>
  <si>
    <t>板  張                      1.15</t>
    <rPh sb="0" eb="1">
      <t>イタ</t>
    </rPh>
    <rPh sb="3" eb="4">
      <t>ハ</t>
    </rPh>
    <phoneticPr fontId="3"/>
  </si>
  <si>
    <t>張材無                       1</t>
    <rPh sb="0" eb="1">
      <t>ハリ</t>
    </rPh>
    <rPh sb="1" eb="2">
      <t>ザイ</t>
    </rPh>
    <rPh sb="2" eb="3">
      <t>ム</t>
    </rPh>
    <phoneticPr fontId="3"/>
  </si>
  <si>
    <t>中間</t>
    <rPh sb="0" eb="2">
      <t>チュウカン</t>
    </rPh>
    <phoneticPr fontId="3"/>
  </si>
  <si>
    <t>軒先</t>
    <rPh sb="0" eb="1">
      <t>ノキ</t>
    </rPh>
    <rPh sb="1" eb="2">
      <t>サキ</t>
    </rPh>
    <phoneticPr fontId="3"/>
  </si>
  <si>
    <t>畳敷き                 190</t>
  </si>
  <si>
    <t>板張り　　　　　　     190</t>
  </si>
  <si>
    <t>波形鉄板葺き          150</t>
    <rPh sb="0" eb="1">
      <t>ナミ</t>
    </rPh>
    <rPh sb="1" eb="2">
      <t>カタ</t>
    </rPh>
    <rPh sb="2" eb="4">
      <t>テッパン</t>
    </rPh>
    <rPh sb="4" eb="5">
      <t>フ</t>
    </rPh>
    <phoneticPr fontId="4"/>
  </si>
  <si>
    <t>波形樹脂板葺き        50</t>
    <rPh sb="0" eb="1">
      <t>ナミ</t>
    </rPh>
    <rPh sb="1" eb="2">
      <t>カタ</t>
    </rPh>
    <rPh sb="2" eb="4">
      <t>ジュシ</t>
    </rPh>
    <rPh sb="4" eb="5">
      <t>イタ</t>
    </rPh>
    <rPh sb="5" eb="6">
      <t>フ</t>
    </rPh>
    <phoneticPr fontId="4"/>
  </si>
  <si>
    <t>ｶﾞﾗｽ屋根              300</t>
    <rPh sb="4" eb="6">
      <t>ヤネ</t>
    </rPh>
    <phoneticPr fontId="4"/>
  </si>
  <si>
    <t>ｱｽﾌｧﾙﾄ防水            90</t>
    <rPh sb="6" eb="8">
      <t>ボウスイ</t>
    </rPh>
    <phoneticPr fontId="4"/>
  </si>
  <si>
    <t>軽量ｺﾝｸﾘｰﾄ60          1060</t>
    <rPh sb="0" eb="2">
      <t>ケイリョウ</t>
    </rPh>
    <phoneticPr fontId="4"/>
  </si>
  <si>
    <t>軽量ｺﾝｸﾘｰﾄ80          1420</t>
    <rPh sb="0" eb="2">
      <t>ケイリョウ</t>
    </rPh>
    <phoneticPr fontId="4"/>
  </si>
  <si>
    <t>軽量ｺﾝｸﾘｰﾄ90          1600</t>
    <rPh sb="0" eb="2">
      <t>ケイリョウ</t>
    </rPh>
    <phoneticPr fontId="4"/>
  </si>
  <si>
    <t>軽量ｺﾝｸﾘｰﾄ100         1770</t>
    <rPh sb="0" eb="2">
      <t>ケイリョウ</t>
    </rPh>
    <phoneticPr fontId="4"/>
  </si>
  <si>
    <t>軽量ｺﾝｸﾘｰﾄ120         2120</t>
    <rPh sb="0" eb="2">
      <t>ケイリョウ</t>
    </rPh>
    <phoneticPr fontId="4"/>
  </si>
  <si>
    <t>芝土砂t=30            560</t>
    <rPh sb="0" eb="1">
      <t>シバ</t>
    </rPh>
    <rPh sb="1" eb="3">
      <t>ドシャ</t>
    </rPh>
    <phoneticPr fontId="4"/>
  </si>
  <si>
    <t>芝土砂t=45            840</t>
    <rPh sb="0" eb="1">
      <t>シバ</t>
    </rPh>
    <rPh sb="1" eb="3">
      <t>ドシャ</t>
    </rPh>
    <phoneticPr fontId="4"/>
  </si>
  <si>
    <t>芝土砂t=60            1120</t>
    <rPh sb="0" eb="1">
      <t>シバ</t>
    </rPh>
    <rPh sb="1" eb="3">
      <t>ドシャ</t>
    </rPh>
    <phoneticPr fontId="4"/>
  </si>
  <si>
    <t>PB+珪藻土             300</t>
    <rPh sb="3" eb="5">
      <t>ケイソウ</t>
    </rPh>
    <rPh sb="5" eb="6">
      <t>ツチ</t>
    </rPh>
    <phoneticPr fontId="4"/>
  </si>
  <si>
    <t>ﾊﾞﾙｺﾆｰ</t>
    <phoneticPr fontId="3"/>
  </si>
  <si>
    <t>ﾓﾙﾀﾙt=30              590</t>
  </si>
  <si>
    <t>大引,小梁</t>
    <rPh sb="0" eb="1">
      <t>ダイ</t>
    </rPh>
    <rPh sb="1" eb="2">
      <t>ヒ</t>
    </rPh>
    <rPh sb="3" eb="4">
      <t>コ</t>
    </rPh>
    <rPh sb="4" eb="5">
      <t>ハリ</t>
    </rPh>
    <phoneticPr fontId="4"/>
  </si>
  <si>
    <t>たわみ長</t>
    <rPh sb="3" eb="4">
      <t>チョウ</t>
    </rPh>
    <phoneticPr fontId="3"/>
  </si>
  <si>
    <t>たわみ短</t>
    <rPh sb="3" eb="4">
      <t>タン</t>
    </rPh>
    <phoneticPr fontId="3"/>
  </si>
  <si>
    <t>ﾊﾞﾙｺﾆｰ      ﾍﾞﾗﾝﾀﾞ用</t>
    <rPh sb="18" eb="19">
      <t>ヨウ</t>
    </rPh>
    <phoneticPr fontId="3"/>
  </si>
  <si>
    <t>間隔(m)    一方 @</t>
    <rPh sb="0" eb="2">
      <t>カンカク</t>
    </rPh>
    <rPh sb="9" eb="11">
      <t>イッポウ</t>
    </rPh>
    <phoneticPr fontId="3"/>
  </si>
  <si>
    <t>間隔(m)     他方@</t>
    <rPh sb="0" eb="2">
      <t>カンカク</t>
    </rPh>
    <rPh sb="10" eb="12">
      <t>タホウ</t>
    </rPh>
    <phoneticPr fontId="3"/>
  </si>
  <si>
    <t>C欠</t>
    <rPh sb="1" eb="2">
      <t>ケツ</t>
    </rPh>
    <phoneticPr fontId="3"/>
  </si>
  <si>
    <t>せん断</t>
    <rPh sb="2" eb="3">
      <t>ダン</t>
    </rPh>
    <phoneticPr fontId="3"/>
  </si>
  <si>
    <t>せん断用</t>
    <rPh sb="2" eb="3">
      <t>ダン</t>
    </rPh>
    <rPh sb="3" eb="4">
      <t>ヨウ</t>
    </rPh>
    <phoneticPr fontId="3"/>
  </si>
  <si>
    <t>めり込み</t>
    <rPh sb="2" eb="3">
      <t>コ</t>
    </rPh>
    <phoneticPr fontId="3"/>
  </si>
  <si>
    <t>杉</t>
    <rPh sb="0" eb="1">
      <t>スギ</t>
    </rPh>
    <phoneticPr fontId="3"/>
  </si>
  <si>
    <t>米松</t>
    <rPh sb="0" eb="1">
      <t>コメ</t>
    </rPh>
    <rPh sb="1" eb="2">
      <t>マツ</t>
    </rPh>
    <phoneticPr fontId="3"/>
  </si>
  <si>
    <t>桧</t>
    <rPh sb="0" eb="1">
      <t>ヒノキ</t>
    </rPh>
    <phoneticPr fontId="3"/>
  </si>
  <si>
    <t>松</t>
    <rPh sb="0" eb="1">
      <t>マツ</t>
    </rPh>
    <phoneticPr fontId="3"/>
  </si>
  <si>
    <t>単位重量</t>
    <rPh sb="0" eb="2">
      <t>タンイ</t>
    </rPh>
    <rPh sb="2" eb="4">
      <t>ジュウリョウ</t>
    </rPh>
    <phoneticPr fontId="3"/>
  </si>
  <si>
    <t>重量</t>
    <rPh sb="0" eb="2">
      <t>ジュウリョウ</t>
    </rPh>
    <phoneticPr fontId="3"/>
  </si>
  <si>
    <t>有り　　　　　　　　　　　　　　　　1</t>
    <rPh sb="0" eb="1">
      <t>ア</t>
    </rPh>
    <phoneticPr fontId="3"/>
  </si>
  <si>
    <t>無し　　　　　　　　　　　　　　　　　2</t>
    <rPh sb="0" eb="1">
      <t>ナ</t>
    </rPh>
    <phoneticPr fontId="3"/>
  </si>
  <si>
    <t>柱有無</t>
    <rPh sb="0" eb="1">
      <t>ハシラ</t>
    </rPh>
    <rPh sb="1" eb="3">
      <t>ウム</t>
    </rPh>
    <phoneticPr fontId="3"/>
  </si>
  <si>
    <t>左m</t>
    <rPh sb="0" eb="1">
      <t>ヒダリ</t>
    </rPh>
    <phoneticPr fontId="3"/>
  </si>
  <si>
    <t>右m</t>
    <rPh sb="0" eb="1">
      <t>ミギ</t>
    </rPh>
    <phoneticPr fontId="3"/>
  </si>
  <si>
    <t>上m</t>
    <rPh sb="0" eb="1">
      <t>ウエ</t>
    </rPh>
    <phoneticPr fontId="3"/>
  </si>
  <si>
    <t>下m</t>
    <rPh sb="0" eb="1">
      <t>シタ</t>
    </rPh>
    <phoneticPr fontId="3"/>
  </si>
  <si>
    <t>壁</t>
    <rPh sb="0" eb="1">
      <t>カベ</t>
    </rPh>
    <phoneticPr fontId="3"/>
  </si>
  <si>
    <t>種別</t>
    <rPh sb="0" eb="2">
      <t>シュベツ</t>
    </rPh>
    <phoneticPr fontId="3"/>
  </si>
  <si>
    <t>外周壁                                 1</t>
    <rPh sb="0" eb="1">
      <t>ソト</t>
    </rPh>
    <rPh sb="1" eb="2">
      <t>シュウ</t>
    </rPh>
    <rPh sb="2" eb="3">
      <t>カベ</t>
    </rPh>
    <phoneticPr fontId="4"/>
  </si>
  <si>
    <t>間壁1                                     2</t>
    <rPh sb="0" eb="1">
      <t>アイダ</t>
    </rPh>
    <rPh sb="1" eb="2">
      <t>カベ</t>
    </rPh>
    <phoneticPr fontId="4"/>
  </si>
  <si>
    <t>間壁2                                                  3</t>
    <rPh sb="0" eb="1">
      <t>アイダ</t>
    </rPh>
    <rPh sb="1" eb="2">
      <t>カベ</t>
    </rPh>
    <phoneticPr fontId="4"/>
  </si>
  <si>
    <t>高さm</t>
    <rPh sb="0" eb="1">
      <t>タカ</t>
    </rPh>
    <phoneticPr fontId="3"/>
  </si>
  <si>
    <t>屋根重量</t>
    <rPh sb="0" eb="2">
      <t>ヤネ</t>
    </rPh>
    <rPh sb="2" eb="4">
      <t>ジュウリョウ</t>
    </rPh>
    <phoneticPr fontId="3"/>
  </si>
  <si>
    <t>長期P</t>
    <rPh sb="0" eb="2">
      <t>チョウキ</t>
    </rPh>
    <phoneticPr fontId="3"/>
  </si>
  <si>
    <t>短期P</t>
    <rPh sb="0" eb="1">
      <t>タン</t>
    </rPh>
    <rPh sb="1" eb="2">
      <t>キ</t>
    </rPh>
    <phoneticPr fontId="3"/>
  </si>
  <si>
    <t>壁重量</t>
    <rPh sb="0" eb="1">
      <t>カベ</t>
    </rPh>
    <rPh sb="1" eb="3">
      <t>ジュウリョウ</t>
    </rPh>
    <phoneticPr fontId="3"/>
  </si>
  <si>
    <t>屋根</t>
    <rPh sb="0" eb="2">
      <t>ヤネ</t>
    </rPh>
    <phoneticPr fontId="3"/>
  </si>
  <si>
    <t>N/cm</t>
    <phoneticPr fontId="3"/>
  </si>
  <si>
    <t>Cosθ</t>
    <phoneticPr fontId="4"/>
  </si>
  <si>
    <t>Sδ'(1/)</t>
    <phoneticPr fontId="3"/>
  </si>
  <si>
    <t>Sδ'</t>
    <phoneticPr fontId="3"/>
  </si>
  <si>
    <t>L'</t>
    <phoneticPr fontId="3"/>
  </si>
  <si>
    <t>N/cm</t>
    <phoneticPr fontId="3"/>
  </si>
  <si>
    <t>ひば                                                      7</t>
    <phoneticPr fontId="3"/>
  </si>
  <si>
    <t>もみ                                             10</t>
    <phoneticPr fontId="3"/>
  </si>
  <si>
    <t>ぶな                                          17</t>
    <phoneticPr fontId="3"/>
  </si>
  <si>
    <t>根太                                       1</t>
    <rPh sb="0" eb="1">
      <t>ネ</t>
    </rPh>
    <rPh sb="1" eb="2">
      <t>タ</t>
    </rPh>
    <phoneticPr fontId="3"/>
  </si>
  <si>
    <t>垂木                                    2</t>
    <rPh sb="0" eb="2">
      <t>タルキ</t>
    </rPh>
    <phoneticPr fontId="3"/>
  </si>
  <si>
    <t>母屋                                 3</t>
    <rPh sb="0" eb="2">
      <t>モヤ</t>
    </rPh>
    <phoneticPr fontId="3"/>
  </si>
  <si>
    <t>棟木                               4</t>
    <rPh sb="0" eb="1">
      <t>ムネ</t>
    </rPh>
    <rPh sb="1" eb="2">
      <t>キ</t>
    </rPh>
    <phoneticPr fontId="3"/>
  </si>
  <si>
    <t>床小梁                               5</t>
    <rPh sb="0" eb="1">
      <t>ユカ</t>
    </rPh>
    <rPh sb="1" eb="2">
      <t>コ</t>
    </rPh>
    <rPh sb="2" eb="3">
      <t>ハリ</t>
    </rPh>
    <phoneticPr fontId="3"/>
  </si>
  <si>
    <t>小屋梁                                 6</t>
    <rPh sb="0" eb="2">
      <t>コヤ</t>
    </rPh>
    <rPh sb="2" eb="3">
      <t>ハリ</t>
    </rPh>
    <phoneticPr fontId="3"/>
  </si>
  <si>
    <t>軒桁                                  7</t>
    <rPh sb="0" eb="1">
      <t>ノキ</t>
    </rPh>
    <rPh sb="1" eb="2">
      <t>ケタ</t>
    </rPh>
    <phoneticPr fontId="3"/>
  </si>
  <si>
    <t>床梁                                8</t>
    <rPh sb="0" eb="1">
      <t>ユカ</t>
    </rPh>
    <rPh sb="1" eb="2">
      <t>ハリ</t>
    </rPh>
    <phoneticPr fontId="3"/>
  </si>
  <si>
    <t>胴差                                 9</t>
    <rPh sb="0" eb="1">
      <t>ドウ</t>
    </rPh>
    <rPh sb="1" eb="2">
      <t>サ</t>
    </rPh>
    <phoneticPr fontId="3"/>
  </si>
  <si>
    <t>Lσb</t>
    <phoneticPr fontId="4"/>
  </si>
  <si>
    <t>Lδ</t>
    <phoneticPr fontId="3"/>
  </si>
  <si>
    <t>Sσb</t>
    <phoneticPr fontId="4"/>
  </si>
  <si>
    <t>Sδ</t>
    <phoneticPr fontId="3"/>
  </si>
  <si>
    <t>Z</t>
    <phoneticPr fontId="3"/>
  </si>
  <si>
    <t>I</t>
    <phoneticPr fontId="3"/>
  </si>
  <si>
    <t>Lfb</t>
    <phoneticPr fontId="4"/>
  </si>
  <si>
    <t>Sfb</t>
    <phoneticPr fontId="3"/>
  </si>
  <si>
    <t>δ'(1/)</t>
    <phoneticPr fontId="3"/>
  </si>
  <si>
    <t>δ'</t>
    <phoneticPr fontId="3"/>
  </si>
  <si>
    <t>瓦葺き(葺土有り)          980</t>
    <rPh sb="4" eb="5">
      <t>フ</t>
    </rPh>
    <rPh sb="5" eb="6">
      <t>ツチ</t>
    </rPh>
    <rPh sb="6" eb="7">
      <t>ア</t>
    </rPh>
    <phoneticPr fontId="3"/>
  </si>
  <si>
    <t>瓦葺き　　　          650</t>
    <phoneticPr fontId="3"/>
  </si>
  <si>
    <t>石面ｽﾚｰﾄ葺き             350</t>
    <rPh sb="0" eb="1">
      <t>セキ</t>
    </rPh>
    <rPh sb="1" eb="2">
      <t>メン</t>
    </rPh>
    <rPh sb="6" eb="7">
      <t>フ</t>
    </rPh>
    <phoneticPr fontId="3"/>
  </si>
  <si>
    <t>硝子葺き(鉄枠)          300</t>
    <rPh sb="0" eb="2">
      <t>ガラス</t>
    </rPh>
    <rPh sb="2" eb="3">
      <t>フ</t>
    </rPh>
    <rPh sb="5" eb="6">
      <t>テツ</t>
    </rPh>
    <rPh sb="6" eb="7">
      <t>ワク</t>
    </rPh>
    <phoneticPr fontId="3"/>
  </si>
  <si>
    <t>金属板葺き              200</t>
    <rPh sb="0" eb="2">
      <t>キンゾク</t>
    </rPh>
    <rPh sb="2" eb="3">
      <t>イタ</t>
    </rPh>
    <rPh sb="3" eb="4">
      <t>フ</t>
    </rPh>
    <phoneticPr fontId="3"/>
  </si>
  <si>
    <t>一般　　　　          150</t>
    <phoneticPr fontId="3"/>
  </si>
  <si>
    <t>格縁    　　           300</t>
    <rPh sb="0" eb="1">
      <t>カク</t>
    </rPh>
    <rPh sb="1" eb="2">
      <t>フチ</t>
    </rPh>
    <phoneticPr fontId="3"/>
  </si>
  <si>
    <t>漆喰    　　           400</t>
    <phoneticPr fontId="3"/>
  </si>
  <si>
    <t>ﾓﾙﾀﾙ    　　           600</t>
    <phoneticPr fontId="3"/>
  </si>
  <si>
    <t>板張り　　　　　　     190</t>
    <phoneticPr fontId="3"/>
  </si>
  <si>
    <t>畳敷き                 190</t>
    <phoneticPr fontId="3"/>
  </si>
  <si>
    <t>ﾘﾉﾘｭｳﾑ           200</t>
    <phoneticPr fontId="4"/>
  </si>
  <si>
    <t>ｶｰﾍﾟｯﾄ            200</t>
    <phoneticPr fontId="4"/>
  </si>
  <si>
    <t>4m    　　　          100</t>
    <phoneticPr fontId="4"/>
  </si>
  <si>
    <t>5m    　　　          150</t>
    <phoneticPr fontId="4"/>
  </si>
  <si>
    <t>6m    　　　          200</t>
    <phoneticPr fontId="4"/>
  </si>
  <si>
    <t>7m    　　　          200</t>
    <phoneticPr fontId="4"/>
  </si>
  <si>
    <t>8m    　　　          250</t>
    <phoneticPr fontId="4"/>
  </si>
  <si>
    <t>下見板ｻｲﾃﾞｨﾝｸﾞ        100</t>
    <phoneticPr fontId="3"/>
  </si>
  <si>
    <t>ﾎﾞ-ﾄﾞ類               150</t>
    <phoneticPr fontId="3"/>
  </si>
  <si>
    <t>漆喰塗り              350</t>
    <phoneticPr fontId="3"/>
  </si>
  <si>
    <t>ﾗｽﾓﾙﾀﾙ塗り            750</t>
    <phoneticPr fontId="4"/>
  </si>
  <si>
    <t>ﾌﾟﾗｽﾀｰ塗(木摺　       400</t>
    <rPh sb="6" eb="7">
      <t>ヌ</t>
    </rPh>
    <rPh sb="8" eb="9">
      <t>キ</t>
    </rPh>
    <rPh sb="9" eb="10">
      <t>ス</t>
    </rPh>
    <phoneticPr fontId="4"/>
  </si>
  <si>
    <t>ﾌﾟﾗｽﾀｰ塗(ﾎﾞｰﾄﾞ        350</t>
    <rPh sb="6" eb="7">
      <t>ヌ</t>
    </rPh>
    <phoneticPr fontId="4"/>
  </si>
  <si>
    <t>珪藻土塗壁　　　　　　340</t>
    <rPh sb="0" eb="2">
      <t>ケイソウ</t>
    </rPh>
    <rPh sb="2" eb="3">
      <t>ツチ</t>
    </rPh>
    <rPh sb="3" eb="4">
      <t>ヌ</t>
    </rPh>
    <rPh sb="4" eb="5">
      <t>カベ</t>
    </rPh>
    <phoneticPr fontId="3"/>
  </si>
  <si>
    <t>軸組                  150</t>
    <phoneticPr fontId="4"/>
  </si>
  <si>
    <t>真壁                  850</t>
    <phoneticPr fontId="4"/>
  </si>
  <si>
    <t>軸組(断熱材共)        200</t>
    <rPh sb="0" eb="1">
      <t>ジク</t>
    </rPh>
    <rPh sb="1" eb="2">
      <t>クミ</t>
    </rPh>
    <rPh sb="3" eb="5">
      <t>ダンネツ</t>
    </rPh>
    <rPh sb="5" eb="6">
      <t>ザイ</t>
    </rPh>
    <rPh sb="6" eb="7">
      <t>トモ</t>
    </rPh>
    <phoneticPr fontId="4"/>
  </si>
  <si>
    <t>戸建住宅　　　　　　　1</t>
    <phoneticPr fontId="3"/>
  </si>
  <si>
    <t>長屋                 3</t>
    <phoneticPr fontId="3"/>
  </si>
  <si>
    <t>共同住宅             4</t>
    <phoneticPr fontId="3"/>
  </si>
  <si>
    <t>寄宿舎               5</t>
    <phoneticPr fontId="3"/>
  </si>
  <si>
    <t>下宿                 6</t>
    <phoneticPr fontId="3"/>
  </si>
  <si>
    <t>幼稚園               7</t>
    <phoneticPr fontId="3"/>
  </si>
  <si>
    <t>小学校                 8</t>
    <phoneticPr fontId="3"/>
  </si>
  <si>
    <t>養護学校              9</t>
    <phoneticPr fontId="4"/>
  </si>
  <si>
    <t>盲学校               10</t>
    <phoneticPr fontId="4"/>
  </si>
  <si>
    <t>聾唖学校               11</t>
    <phoneticPr fontId="4"/>
  </si>
  <si>
    <t>図書館               12</t>
    <phoneticPr fontId="4"/>
  </si>
  <si>
    <t>博物館                13</t>
    <phoneticPr fontId="4"/>
  </si>
  <si>
    <t>神社                 14</t>
    <phoneticPr fontId="4"/>
  </si>
  <si>
    <t>寺院                  15</t>
    <phoneticPr fontId="4"/>
  </si>
  <si>
    <t>教会                 16</t>
    <phoneticPr fontId="4"/>
  </si>
  <si>
    <t>老人ﾎｰﾑ                17</t>
    <phoneticPr fontId="4"/>
  </si>
  <si>
    <t>ｸﾞﾙｰﾌﾟﾎｰﾑ              18</t>
    <phoneticPr fontId="4"/>
  </si>
  <si>
    <t>保育所               19</t>
    <phoneticPr fontId="4"/>
  </si>
  <si>
    <t>助産所                 20</t>
    <phoneticPr fontId="3"/>
  </si>
  <si>
    <t>児童福祉施設             21</t>
    <phoneticPr fontId="4"/>
  </si>
  <si>
    <t>隣保館                22</t>
    <phoneticPr fontId="3"/>
  </si>
  <si>
    <t>公衆浴場               23</t>
    <phoneticPr fontId="4"/>
  </si>
  <si>
    <t>診療所                24</t>
    <phoneticPr fontId="4"/>
  </si>
  <si>
    <t>郵便局                  25</t>
    <phoneticPr fontId="3"/>
  </si>
  <si>
    <t>病院                       26</t>
    <phoneticPr fontId="3"/>
  </si>
  <si>
    <t>隣保館                28</t>
    <phoneticPr fontId="3"/>
  </si>
  <si>
    <t>公衆便所             29</t>
    <phoneticPr fontId="3"/>
  </si>
  <si>
    <t>税務署                 30</t>
    <phoneticPr fontId="4"/>
  </si>
  <si>
    <t>警察所                  31</t>
    <phoneticPr fontId="4"/>
  </si>
  <si>
    <t>保健所                  32</t>
    <phoneticPr fontId="4"/>
  </si>
  <si>
    <t>消防署                  33</t>
    <phoneticPr fontId="4"/>
  </si>
  <si>
    <t>工場                   34</t>
    <phoneticPr fontId="4"/>
  </si>
  <si>
    <t>自動車修理工場               35</t>
    <phoneticPr fontId="3"/>
  </si>
  <si>
    <t>体育館                 36</t>
    <phoneticPr fontId="4"/>
  </si>
  <si>
    <t>スポ－ツ練習場            37</t>
    <phoneticPr fontId="4"/>
  </si>
  <si>
    <t>ホテル                  38</t>
    <phoneticPr fontId="4"/>
  </si>
  <si>
    <t>旅館                  39</t>
    <phoneticPr fontId="4"/>
  </si>
  <si>
    <t>畜舎                    40</t>
    <phoneticPr fontId="3"/>
  </si>
  <si>
    <t>堆肥舎                  41</t>
    <phoneticPr fontId="4"/>
  </si>
  <si>
    <t>養殖場                  42</t>
    <phoneticPr fontId="4"/>
  </si>
  <si>
    <t>店舗                    43</t>
    <phoneticPr fontId="4"/>
  </si>
  <si>
    <t>飲食店                 44</t>
    <phoneticPr fontId="3"/>
  </si>
  <si>
    <t>事務所                  45</t>
    <phoneticPr fontId="3"/>
  </si>
  <si>
    <t>自動車車庫               46</t>
    <phoneticPr fontId="3"/>
  </si>
  <si>
    <t>自転車駐車場            47</t>
    <phoneticPr fontId="3"/>
  </si>
  <si>
    <t>倉庫                   48</t>
    <phoneticPr fontId="4"/>
  </si>
  <si>
    <t>公会堂                 49</t>
    <phoneticPr fontId="4"/>
  </si>
  <si>
    <t>集会場                   50</t>
    <phoneticPr fontId="4"/>
  </si>
  <si>
    <t>展示場                  51</t>
    <phoneticPr fontId="3"/>
  </si>
  <si>
    <t>待合い                    52</t>
    <phoneticPr fontId="4"/>
  </si>
  <si>
    <t>料理店                53</t>
    <phoneticPr fontId="4"/>
  </si>
  <si>
    <t>キャバレ－              54</t>
    <phoneticPr fontId="4"/>
  </si>
  <si>
    <t>カフェ－                55</t>
    <phoneticPr fontId="4"/>
  </si>
  <si>
    <t>ナイトクラブ                56</t>
    <phoneticPr fontId="4"/>
  </si>
  <si>
    <t>舞踏場                   58</t>
    <phoneticPr fontId="3"/>
  </si>
  <si>
    <t>車庫                    63</t>
    <phoneticPr fontId="4"/>
  </si>
  <si>
    <t>瓦葺き　　　         600</t>
    <phoneticPr fontId="3"/>
  </si>
  <si>
    <t>鉄板葺き　　          200</t>
    <phoneticPr fontId="3"/>
  </si>
  <si>
    <t>瓦棒葺き              250</t>
    <rPh sb="0" eb="1">
      <t>カワラ</t>
    </rPh>
    <rPh sb="1" eb="2">
      <t>ボウ</t>
    </rPh>
    <rPh sb="2" eb="3">
      <t>フ</t>
    </rPh>
    <phoneticPr fontId="3"/>
  </si>
  <si>
    <t>ｶﾗｰﾍﾞｽﾄ               350</t>
    <phoneticPr fontId="4"/>
  </si>
  <si>
    <t>ﾓﾙﾀﾙt=30              590</t>
    <phoneticPr fontId="4"/>
  </si>
  <si>
    <t>ﾓﾙﾀﾙt=40              790</t>
    <phoneticPr fontId="4"/>
  </si>
  <si>
    <t>ﾓﾙﾀﾙt=50              980</t>
    <phoneticPr fontId="4"/>
  </si>
  <si>
    <t>ﾓﾙﾀﾙt=60              1180</t>
    <phoneticPr fontId="4"/>
  </si>
  <si>
    <t>ALC 50                300</t>
    <phoneticPr fontId="4"/>
  </si>
  <si>
    <t>ALC 75                450</t>
    <phoneticPr fontId="4"/>
  </si>
  <si>
    <t>ALC100                600</t>
    <phoneticPr fontId="4"/>
  </si>
  <si>
    <t>ALC125                750</t>
    <phoneticPr fontId="4"/>
  </si>
  <si>
    <t>ALC150                900</t>
    <phoneticPr fontId="4"/>
  </si>
  <si>
    <t>ALC175                1050</t>
    <phoneticPr fontId="4"/>
  </si>
  <si>
    <t>ｺﾝｸﾘｰﾄ60              1420</t>
    <phoneticPr fontId="4"/>
  </si>
  <si>
    <t>ｺﾝｸﾘｰﾄ80              1890</t>
    <phoneticPr fontId="4"/>
  </si>
  <si>
    <t>ｺﾝｸﾘｰﾄ90              2120</t>
    <phoneticPr fontId="4"/>
  </si>
  <si>
    <t>ｺﾝｸﾘｰﾄ100             2400</t>
    <phoneticPr fontId="4"/>
  </si>
  <si>
    <t>ｺﾝｸﾘｰﾄ120             2830</t>
    <phoneticPr fontId="4"/>
  </si>
  <si>
    <t>一般　　　　          150</t>
    <phoneticPr fontId="3"/>
  </si>
  <si>
    <t>格縁    　　          300</t>
    <rPh sb="0" eb="1">
      <t>カク</t>
    </rPh>
    <rPh sb="1" eb="2">
      <t>フチ</t>
    </rPh>
    <phoneticPr fontId="3"/>
  </si>
  <si>
    <t>漆喰    　　          400</t>
    <phoneticPr fontId="3"/>
  </si>
  <si>
    <t>石膏ﾎﾞｰﾄﾞ             200</t>
    <rPh sb="0" eb="2">
      <t>セッコウ</t>
    </rPh>
    <phoneticPr fontId="4"/>
  </si>
  <si>
    <t>ﾓﾙﾀﾙ    　　          600</t>
    <phoneticPr fontId="3"/>
  </si>
  <si>
    <t>PB+ﾋﾞﾆﾙｸﾛｽ            250</t>
    <phoneticPr fontId="4"/>
  </si>
  <si>
    <t>ﾀﾞﾝｶｰ                 200</t>
    <phoneticPr fontId="4"/>
  </si>
  <si>
    <t>ﾌﾛｰﾘﾝｸﾞ張り　　　　　　150</t>
    <rPh sb="7" eb="8">
      <t>ハリ</t>
    </rPh>
    <phoneticPr fontId="3"/>
  </si>
  <si>
    <t>ﾊﾟｰﾃｨｸﾙﾎﾞｰﾄﾞ           200</t>
    <phoneticPr fontId="4"/>
  </si>
  <si>
    <t>畳敷き                290</t>
    <phoneticPr fontId="3"/>
  </si>
  <si>
    <t>ﾘﾉﾘｭｳﾑ                150</t>
    <phoneticPr fontId="4"/>
  </si>
  <si>
    <t>ｶｰﾍﾟｯﾄ　　            200</t>
    <phoneticPr fontId="4"/>
  </si>
  <si>
    <t xml:space="preserve">合板+ﾌﾛｰﾘﾝｸﾞ          250 </t>
    <rPh sb="0" eb="2">
      <t>ゴウバン</t>
    </rPh>
    <phoneticPr fontId="4"/>
  </si>
  <si>
    <t>ﾀｲﾙ張                 200</t>
    <rPh sb="3" eb="4">
      <t>ハリ</t>
    </rPh>
    <phoneticPr fontId="4"/>
  </si>
  <si>
    <t>ﾀｲﾙ張+合板            300</t>
    <rPh sb="3" eb="4">
      <t>ハリ</t>
    </rPh>
    <rPh sb="5" eb="7">
      <t>ゴウバン</t>
    </rPh>
    <phoneticPr fontId="4"/>
  </si>
  <si>
    <t>※</t>
    <phoneticPr fontId="3"/>
  </si>
  <si>
    <t>黄色枠は右側の「ボタン」にて決定する。</t>
    <rPh sb="0" eb="1">
      <t>キ</t>
    </rPh>
    <rPh sb="1" eb="2">
      <t>イロ</t>
    </rPh>
    <rPh sb="2" eb="3">
      <t>ワク</t>
    </rPh>
    <rPh sb="4" eb="5">
      <t>ミギ</t>
    </rPh>
    <rPh sb="5" eb="6">
      <t>ソク</t>
    </rPh>
    <rPh sb="14" eb="16">
      <t>ケッテイ</t>
    </rPh>
    <phoneticPr fontId="3"/>
  </si>
  <si>
    <t>白色枠には数値等を書き込みする。</t>
    <rPh sb="0" eb="1">
      <t>シロ</t>
    </rPh>
    <rPh sb="1" eb="2">
      <t>イロ</t>
    </rPh>
    <rPh sb="2" eb="3">
      <t>ワク</t>
    </rPh>
    <rPh sb="5" eb="7">
      <t>スウチ</t>
    </rPh>
    <rPh sb="7" eb="8">
      <t>トウ</t>
    </rPh>
    <rPh sb="9" eb="10">
      <t>カ</t>
    </rPh>
    <rPh sb="11" eb="12">
      <t>コ</t>
    </rPh>
    <phoneticPr fontId="3"/>
  </si>
  <si>
    <t>端部仕口(木口面積)</t>
    <rPh sb="0" eb="1">
      <t>ハシ</t>
    </rPh>
    <rPh sb="1" eb="2">
      <t>ブ</t>
    </rPh>
    <rPh sb="2" eb="3">
      <t>シ</t>
    </rPh>
    <rPh sb="3" eb="4">
      <t>クチ</t>
    </rPh>
    <rPh sb="5" eb="6">
      <t>キ</t>
    </rPh>
    <rPh sb="6" eb="7">
      <t>クチ</t>
    </rPh>
    <rPh sb="7" eb="9">
      <t>メンセキ</t>
    </rPh>
    <phoneticPr fontId="3"/>
  </si>
  <si>
    <t>※1級=1.0,2級=1.2</t>
    <rPh sb="2" eb="3">
      <t>キュウ</t>
    </rPh>
    <rPh sb="9" eb="10">
      <t>キュウ</t>
    </rPh>
    <phoneticPr fontId="3"/>
  </si>
  <si>
    <t>木造在来軸組構法の部材名称図</t>
    <rPh sb="0" eb="2">
      <t>モクゾウ</t>
    </rPh>
    <rPh sb="2" eb="4">
      <t>ザイライ</t>
    </rPh>
    <rPh sb="4" eb="5">
      <t>ジク</t>
    </rPh>
    <rPh sb="5" eb="6">
      <t>クミ</t>
    </rPh>
    <rPh sb="6" eb="7">
      <t>コウ</t>
    </rPh>
    <rPh sb="7" eb="8">
      <t>ホウ</t>
    </rPh>
    <rPh sb="9" eb="10">
      <t>ブ</t>
    </rPh>
    <rPh sb="10" eb="11">
      <t>ザイ</t>
    </rPh>
    <rPh sb="11" eb="13">
      <t>メイショウ</t>
    </rPh>
    <rPh sb="13" eb="14">
      <t>ズ</t>
    </rPh>
    <phoneticPr fontId="3"/>
  </si>
  <si>
    <r>
      <t>Cosθ</t>
    </r>
    <r>
      <rPr>
        <vertAlign val="superscript"/>
        <sz val="10"/>
        <rFont val="ＭＳ 明朝"/>
        <family val="1"/>
        <charset val="128"/>
      </rPr>
      <t>2</t>
    </r>
    <phoneticPr fontId="4"/>
  </si>
  <si>
    <t xml:space="preserve">                       1</t>
    <phoneticPr fontId="3"/>
  </si>
  <si>
    <t>反力</t>
    <rPh sb="0" eb="1">
      <t>ハン</t>
    </rPh>
    <rPh sb="1" eb="2">
      <t>リキ</t>
    </rPh>
    <phoneticPr fontId="3"/>
  </si>
  <si>
    <r>
      <t>C</t>
    </r>
    <r>
      <rPr>
        <sz val="12"/>
        <rFont val="ＭＳ 明朝"/>
        <family val="1"/>
        <charset val="128"/>
      </rPr>
      <t>U</t>
    </r>
    <phoneticPr fontId="3"/>
  </si>
  <si>
    <r>
      <t>C</t>
    </r>
    <r>
      <rPr>
        <sz val="12"/>
        <rFont val="ＭＳ 明朝"/>
        <family val="1"/>
        <charset val="128"/>
      </rPr>
      <t>V</t>
    </r>
    <phoneticPr fontId="3"/>
  </si>
  <si>
    <r>
      <t>C</t>
    </r>
    <r>
      <rPr>
        <sz val="12"/>
        <rFont val="ＭＳ 明朝"/>
        <family val="1"/>
        <charset val="128"/>
      </rPr>
      <t>W</t>
    </r>
    <phoneticPr fontId="3"/>
  </si>
  <si>
    <r>
      <t>C</t>
    </r>
    <r>
      <rPr>
        <sz val="12"/>
        <rFont val="ＭＳ 明朝"/>
        <family val="1"/>
        <charset val="128"/>
      </rPr>
      <t>X</t>
    </r>
    <phoneticPr fontId="3"/>
  </si>
  <si>
    <r>
      <t>C</t>
    </r>
    <r>
      <rPr>
        <sz val="12"/>
        <rFont val="ＭＳ 明朝"/>
        <family val="1"/>
        <charset val="128"/>
      </rPr>
      <t>Y</t>
    </r>
    <phoneticPr fontId="3"/>
  </si>
  <si>
    <r>
      <t>C</t>
    </r>
    <r>
      <rPr>
        <sz val="12"/>
        <rFont val="ＭＳ 明朝"/>
        <family val="1"/>
        <charset val="128"/>
      </rPr>
      <t>Z</t>
    </r>
    <phoneticPr fontId="3"/>
  </si>
  <si>
    <r>
      <t>D</t>
    </r>
    <r>
      <rPr>
        <sz val="12"/>
        <rFont val="ＭＳ 明朝"/>
        <family val="1"/>
        <charset val="128"/>
      </rPr>
      <t>A</t>
    </r>
    <phoneticPr fontId="3"/>
  </si>
  <si>
    <r>
      <t>D</t>
    </r>
    <r>
      <rPr>
        <sz val="12"/>
        <rFont val="ＭＳ 明朝"/>
        <family val="1"/>
        <charset val="128"/>
      </rPr>
      <t>B</t>
    </r>
    <phoneticPr fontId="3"/>
  </si>
  <si>
    <r>
      <t>D</t>
    </r>
    <r>
      <rPr>
        <sz val="12"/>
        <rFont val="ＭＳ 明朝"/>
        <family val="1"/>
        <charset val="128"/>
      </rPr>
      <t>C</t>
    </r>
    <phoneticPr fontId="3"/>
  </si>
  <si>
    <r>
      <t>D</t>
    </r>
    <r>
      <rPr>
        <sz val="12"/>
        <rFont val="ＭＳ 明朝"/>
        <family val="1"/>
        <charset val="128"/>
      </rPr>
      <t>D</t>
    </r>
    <phoneticPr fontId="3"/>
  </si>
  <si>
    <r>
      <t>D</t>
    </r>
    <r>
      <rPr>
        <sz val="12"/>
        <rFont val="ＭＳ 明朝"/>
        <family val="1"/>
        <charset val="128"/>
      </rPr>
      <t>E</t>
    </r>
    <phoneticPr fontId="3"/>
  </si>
  <si>
    <r>
      <t>D</t>
    </r>
    <r>
      <rPr>
        <sz val="12"/>
        <rFont val="ＭＳ 明朝"/>
        <family val="1"/>
        <charset val="128"/>
      </rPr>
      <t>F</t>
    </r>
    <phoneticPr fontId="3"/>
  </si>
  <si>
    <r>
      <t>D</t>
    </r>
    <r>
      <rPr>
        <sz val="12"/>
        <rFont val="ＭＳ 明朝"/>
        <family val="1"/>
        <charset val="128"/>
      </rPr>
      <t>G</t>
    </r>
    <phoneticPr fontId="3"/>
  </si>
  <si>
    <r>
      <t>D</t>
    </r>
    <r>
      <rPr>
        <sz val="12"/>
        <rFont val="ＭＳ 明朝"/>
        <family val="1"/>
        <charset val="128"/>
      </rPr>
      <t>H</t>
    </r>
    <phoneticPr fontId="3"/>
  </si>
  <si>
    <r>
      <t>D</t>
    </r>
    <r>
      <rPr>
        <sz val="12"/>
        <rFont val="ＭＳ 明朝"/>
        <family val="1"/>
        <charset val="128"/>
      </rPr>
      <t>I</t>
    </r>
    <phoneticPr fontId="3"/>
  </si>
  <si>
    <r>
      <t>D</t>
    </r>
    <r>
      <rPr>
        <sz val="12"/>
        <rFont val="ＭＳ 明朝"/>
        <family val="1"/>
        <charset val="128"/>
      </rPr>
      <t>J</t>
    </r>
    <phoneticPr fontId="3"/>
  </si>
  <si>
    <r>
      <t>D</t>
    </r>
    <r>
      <rPr>
        <sz val="12"/>
        <rFont val="ＭＳ 明朝"/>
        <family val="1"/>
        <charset val="128"/>
      </rPr>
      <t>K</t>
    </r>
    <phoneticPr fontId="3"/>
  </si>
  <si>
    <r>
      <t>D</t>
    </r>
    <r>
      <rPr>
        <sz val="12"/>
        <rFont val="ＭＳ 明朝"/>
        <family val="1"/>
        <charset val="128"/>
      </rPr>
      <t>L</t>
    </r>
    <phoneticPr fontId="3"/>
  </si>
  <si>
    <r>
      <t>D</t>
    </r>
    <r>
      <rPr>
        <sz val="12"/>
        <rFont val="ＭＳ 明朝"/>
        <family val="1"/>
        <charset val="128"/>
      </rPr>
      <t>M</t>
    </r>
    <phoneticPr fontId="3"/>
  </si>
  <si>
    <r>
      <t>D</t>
    </r>
    <r>
      <rPr>
        <sz val="12"/>
        <rFont val="ＭＳ 明朝"/>
        <family val="1"/>
        <charset val="128"/>
      </rPr>
      <t>N</t>
    </r>
    <phoneticPr fontId="3"/>
  </si>
  <si>
    <r>
      <t>D</t>
    </r>
    <r>
      <rPr>
        <sz val="12"/>
        <rFont val="ＭＳ 明朝"/>
        <family val="1"/>
        <charset val="128"/>
      </rPr>
      <t>O</t>
    </r>
    <phoneticPr fontId="3"/>
  </si>
  <si>
    <r>
      <t>D</t>
    </r>
    <r>
      <rPr>
        <sz val="12"/>
        <rFont val="ＭＳ 明朝"/>
        <family val="1"/>
        <charset val="128"/>
      </rPr>
      <t>P</t>
    </r>
    <phoneticPr fontId="3"/>
  </si>
  <si>
    <r>
      <t>D</t>
    </r>
    <r>
      <rPr>
        <sz val="12"/>
        <rFont val="ＭＳ 明朝"/>
        <family val="1"/>
        <charset val="128"/>
      </rPr>
      <t>Q</t>
    </r>
    <phoneticPr fontId="3"/>
  </si>
  <si>
    <r>
      <t>D</t>
    </r>
    <r>
      <rPr>
        <sz val="12"/>
        <rFont val="ＭＳ 明朝"/>
        <family val="1"/>
        <charset val="128"/>
      </rPr>
      <t>R</t>
    </r>
    <phoneticPr fontId="3"/>
  </si>
  <si>
    <r>
      <t>D</t>
    </r>
    <r>
      <rPr>
        <sz val="12"/>
        <rFont val="ＭＳ 明朝"/>
        <family val="1"/>
        <charset val="128"/>
      </rPr>
      <t>S</t>
    </r>
    <phoneticPr fontId="3"/>
  </si>
  <si>
    <r>
      <t>D</t>
    </r>
    <r>
      <rPr>
        <sz val="12"/>
        <rFont val="ＭＳ 明朝"/>
        <family val="1"/>
        <charset val="128"/>
      </rPr>
      <t>T</t>
    </r>
    <phoneticPr fontId="3"/>
  </si>
  <si>
    <r>
      <t>D</t>
    </r>
    <r>
      <rPr>
        <sz val="12"/>
        <rFont val="ＭＳ 明朝"/>
        <family val="1"/>
        <charset val="128"/>
      </rPr>
      <t>U</t>
    </r>
    <phoneticPr fontId="3"/>
  </si>
  <si>
    <r>
      <t>D</t>
    </r>
    <r>
      <rPr>
        <sz val="12"/>
        <rFont val="ＭＳ 明朝"/>
        <family val="1"/>
        <charset val="128"/>
      </rPr>
      <t>V</t>
    </r>
    <phoneticPr fontId="3"/>
  </si>
  <si>
    <r>
      <t>D</t>
    </r>
    <r>
      <rPr>
        <sz val="12"/>
        <rFont val="ＭＳ 明朝"/>
        <family val="1"/>
        <charset val="128"/>
      </rPr>
      <t>W</t>
    </r>
    <phoneticPr fontId="3"/>
  </si>
  <si>
    <r>
      <t>D</t>
    </r>
    <r>
      <rPr>
        <sz val="12"/>
        <rFont val="ＭＳ 明朝"/>
        <family val="1"/>
        <charset val="128"/>
      </rPr>
      <t>X</t>
    </r>
    <phoneticPr fontId="3"/>
  </si>
  <si>
    <r>
      <t>D</t>
    </r>
    <r>
      <rPr>
        <sz val="12"/>
        <rFont val="ＭＳ 明朝"/>
        <family val="1"/>
        <charset val="128"/>
      </rPr>
      <t>Y</t>
    </r>
    <phoneticPr fontId="3"/>
  </si>
  <si>
    <r>
      <t>D</t>
    </r>
    <r>
      <rPr>
        <sz val="12"/>
        <rFont val="ＭＳ 明朝"/>
        <family val="1"/>
        <charset val="128"/>
      </rPr>
      <t>Z</t>
    </r>
    <phoneticPr fontId="3"/>
  </si>
  <si>
    <r>
      <t>E</t>
    </r>
    <r>
      <rPr>
        <sz val="12"/>
        <rFont val="ＭＳ 明朝"/>
        <family val="1"/>
        <charset val="128"/>
      </rPr>
      <t>A</t>
    </r>
    <phoneticPr fontId="3"/>
  </si>
  <si>
    <r>
      <t>E</t>
    </r>
    <r>
      <rPr>
        <sz val="12"/>
        <rFont val="ＭＳ 明朝"/>
        <family val="1"/>
        <charset val="128"/>
      </rPr>
      <t>B</t>
    </r>
    <phoneticPr fontId="3"/>
  </si>
  <si>
    <r>
      <t>E</t>
    </r>
    <r>
      <rPr>
        <sz val="12"/>
        <rFont val="ＭＳ 明朝"/>
        <family val="1"/>
        <charset val="128"/>
      </rPr>
      <t>C</t>
    </r>
    <phoneticPr fontId="3"/>
  </si>
  <si>
    <r>
      <t>E</t>
    </r>
    <r>
      <rPr>
        <sz val="12"/>
        <rFont val="ＭＳ 明朝"/>
        <family val="1"/>
        <charset val="128"/>
      </rPr>
      <t>D</t>
    </r>
    <phoneticPr fontId="3"/>
  </si>
  <si>
    <r>
      <t>E</t>
    </r>
    <r>
      <rPr>
        <sz val="12"/>
        <rFont val="ＭＳ 明朝"/>
        <family val="1"/>
        <charset val="128"/>
      </rPr>
      <t>E</t>
    </r>
    <phoneticPr fontId="3"/>
  </si>
  <si>
    <r>
      <t>E</t>
    </r>
    <r>
      <rPr>
        <sz val="12"/>
        <rFont val="ＭＳ 明朝"/>
        <family val="1"/>
        <charset val="128"/>
      </rPr>
      <t>F</t>
    </r>
    <phoneticPr fontId="3"/>
  </si>
  <si>
    <r>
      <t>E</t>
    </r>
    <r>
      <rPr>
        <sz val="12"/>
        <rFont val="ＭＳ 明朝"/>
        <family val="1"/>
        <charset val="128"/>
      </rPr>
      <t>G</t>
    </r>
    <phoneticPr fontId="3"/>
  </si>
  <si>
    <r>
      <t>E</t>
    </r>
    <r>
      <rPr>
        <sz val="12"/>
        <rFont val="ＭＳ 明朝"/>
        <family val="1"/>
        <charset val="128"/>
      </rPr>
      <t>H</t>
    </r>
    <phoneticPr fontId="3"/>
  </si>
  <si>
    <t>ｽﾊﾟﾝ(m)       L</t>
    <phoneticPr fontId="3"/>
  </si>
  <si>
    <t>断面</t>
    <rPh sb="0" eb="2">
      <t>ダンメン</t>
    </rPh>
    <phoneticPr fontId="3"/>
  </si>
  <si>
    <r>
      <t>Cosθ</t>
    </r>
    <r>
      <rPr>
        <vertAlign val="superscript"/>
        <sz val="10"/>
        <rFont val="ＭＳ 明朝"/>
        <family val="1"/>
        <charset val="128"/>
      </rPr>
      <t>2</t>
    </r>
    <phoneticPr fontId="4"/>
  </si>
  <si>
    <t>Cosθ</t>
    <phoneticPr fontId="4"/>
  </si>
  <si>
    <t>Sδ'(1/)</t>
    <phoneticPr fontId="3"/>
  </si>
  <si>
    <t>Sδ'</t>
    <phoneticPr fontId="3"/>
  </si>
  <si>
    <t>L'</t>
    <phoneticPr fontId="3"/>
  </si>
  <si>
    <t>N/cm</t>
    <phoneticPr fontId="3"/>
  </si>
  <si>
    <t>m^3</t>
    <phoneticPr fontId="3"/>
  </si>
  <si>
    <t>長期N</t>
    <rPh sb="0" eb="2">
      <t>チョウキ</t>
    </rPh>
    <phoneticPr fontId="3"/>
  </si>
  <si>
    <t>短期N</t>
    <rPh sb="0" eb="1">
      <t>タン</t>
    </rPh>
    <rPh sb="1" eb="2">
      <t>キ</t>
    </rPh>
    <phoneticPr fontId="3"/>
  </si>
  <si>
    <t>m</t>
    <phoneticPr fontId="3"/>
  </si>
  <si>
    <t>たわみ</t>
    <phoneticPr fontId="3"/>
  </si>
  <si>
    <t>/10</t>
    <phoneticPr fontId="3"/>
  </si>
  <si>
    <t>μB</t>
    <phoneticPr fontId="4"/>
  </si>
  <si>
    <t>×</t>
    <phoneticPr fontId="3"/>
  </si>
  <si>
    <t>bcm</t>
    <phoneticPr fontId="3"/>
  </si>
  <si>
    <t>hcm</t>
    <phoneticPr fontId="3"/>
  </si>
  <si>
    <t>Ae</t>
    <phoneticPr fontId="3"/>
  </si>
  <si>
    <r>
      <t>σb</t>
    </r>
    <r>
      <rPr>
        <sz val="12"/>
        <rFont val="ＭＳ 明朝"/>
        <family val="1"/>
        <charset val="128"/>
      </rPr>
      <t>/fb</t>
    </r>
    <phoneticPr fontId="4"/>
  </si>
  <si>
    <r>
      <t>δ/δ</t>
    </r>
    <r>
      <rPr>
        <sz val="12"/>
        <rFont val="ＭＳ 明朝"/>
        <family val="1"/>
        <charset val="128"/>
      </rPr>
      <t>'</t>
    </r>
    <phoneticPr fontId="4"/>
  </si>
  <si>
    <r>
      <t>σ</t>
    </r>
    <r>
      <rPr>
        <sz val="12"/>
        <rFont val="ＭＳ 明朝"/>
        <family val="1"/>
        <charset val="128"/>
      </rPr>
      <t>s/fs</t>
    </r>
    <phoneticPr fontId="4"/>
  </si>
  <si>
    <t>A</t>
    <phoneticPr fontId="3"/>
  </si>
  <si>
    <t>N/cm</t>
    <phoneticPr fontId="3"/>
  </si>
  <si>
    <t>Lσb</t>
    <phoneticPr fontId="4"/>
  </si>
  <si>
    <t>Lδ</t>
    <phoneticPr fontId="3"/>
  </si>
  <si>
    <t>Lσs</t>
    <phoneticPr fontId="4"/>
  </si>
  <si>
    <t>Sσb</t>
    <phoneticPr fontId="4"/>
  </si>
  <si>
    <t>Sδ</t>
    <phoneticPr fontId="3"/>
  </si>
  <si>
    <t>Sσs</t>
    <phoneticPr fontId="4"/>
  </si>
  <si>
    <t>Z</t>
    <phoneticPr fontId="3"/>
  </si>
  <si>
    <t>I</t>
    <phoneticPr fontId="3"/>
  </si>
  <si>
    <t>Lfb</t>
    <phoneticPr fontId="4"/>
  </si>
  <si>
    <t>Sfb</t>
    <phoneticPr fontId="3"/>
  </si>
  <si>
    <t>Lfs</t>
    <phoneticPr fontId="4"/>
  </si>
  <si>
    <t>Sfs</t>
    <phoneticPr fontId="3"/>
  </si>
  <si>
    <r>
      <t>Lf</t>
    </r>
    <r>
      <rPr>
        <sz val="12"/>
        <rFont val="ＭＳ 明朝"/>
        <family val="1"/>
        <charset val="128"/>
      </rPr>
      <t>cv</t>
    </r>
    <phoneticPr fontId="4"/>
  </si>
  <si>
    <r>
      <t>Sf</t>
    </r>
    <r>
      <rPr>
        <sz val="12"/>
        <rFont val="ＭＳ 明朝"/>
        <family val="1"/>
        <charset val="128"/>
      </rPr>
      <t>cv</t>
    </r>
    <phoneticPr fontId="4"/>
  </si>
  <si>
    <t>δ'(1/)</t>
    <phoneticPr fontId="3"/>
  </si>
  <si>
    <t>δ'</t>
    <phoneticPr fontId="3"/>
  </si>
  <si>
    <t>N</t>
    <phoneticPr fontId="3"/>
  </si>
  <si>
    <t>ﾋﾟｯﾁ</t>
    <phoneticPr fontId="3"/>
  </si>
  <si>
    <t>ｽﾊﾟﾝ</t>
    <phoneticPr fontId="3"/>
  </si>
  <si>
    <t>EH</t>
    <phoneticPr fontId="3"/>
  </si>
  <si>
    <r>
      <t>E</t>
    </r>
    <r>
      <rPr>
        <sz val="12"/>
        <rFont val="ＭＳ 明朝"/>
        <family val="1"/>
        <charset val="128"/>
      </rPr>
      <t>I</t>
    </r>
    <phoneticPr fontId="3"/>
  </si>
  <si>
    <r>
      <t>E</t>
    </r>
    <r>
      <rPr>
        <sz val="12"/>
        <rFont val="ＭＳ 明朝"/>
        <family val="1"/>
        <charset val="128"/>
      </rPr>
      <t>J</t>
    </r>
    <phoneticPr fontId="3"/>
  </si>
  <si>
    <r>
      <t>E</t>
    </r>
    <r>
      <rPr>
        <sz val="12"/>
        <rFont val="ＭＳ 明朝"/>
        <family val="1"/>
        <charset val="128"/>
      </rPr>
      <t>K</t>
    </r>
    <phoneticPr fontId="3"/>
  </si>
  <si>
    <r>
      <t>E</t>
    </r>
    <r>
      <rPr>
        <sz val="12"/>
        <rFont val="ＭＳ 明朝"/>
        <family val="1"/>
        <charset val="128"/>
      </rPr>
      <t>L</t>
    </r>
    <phoneticPr fontId="3"/>
  </si>
  <si>
    <r>
      <t>E</t>
    </r>
    <r>
      <rPr>
        <sz val="12"/>
        <rFont val="ＭＳ 明朝"/>
        <family val="1"/>
        <charset val="128"/>
      </rPr>
      <t>M</t>
    </r>
    <phoneticPr fontId="3"/>
  </si>
  <si>
    <r>
      <t>E</t>
    </r>
    <r>
      <rPr>
        <sz val="12"/>
        <rFont val="ＭＳ 明朝"/>
        <family val="1"/>
        <charset val="128"/>
      </rPr>
      <t>N</t>
    </r>
    <phoneticPr fontId="3"/>
  </si>
  <si>
    <r>
      <t>E</t>
    </r>
    <r>
      <rPr>
        <sz val="12"/>
        <rFont val="ＭＳ 明朝"/>
        <family val="1"/>
        <charset val="128"/>
      </rPr>
      <t>O</t>
    </r>
    <phoneticPr fontId="3"/>
  </si>
  <si>
    <r>
      <t>E</t>
    </r>
    <r>
      <rPr>
        <sz val="12"/>
        <rFont val="ＭＳ 明朝"/>
        <family val="1"/>
        <charset val="128"/>
      </rPr>
      <t>P</t>
    </r>
    <phoneticPr fontId="3"/>
  </si>
  <si>
    <r>
      <t>E</t>
    </r>
    <r>
      <rPr>
        <sz val="12"/>
        <rFont val="ＭＳ 明朝"/>
        <family val="1"/>
        <charset val="128"/>
      </rPr>
      <t>Q</t>
    </r>
    <phoneticPr fontId="3"/>
  </si>
  <si>
    <r>
      <t>E</t>
    </r>
    <r>
      <rPr>
        <sz val="12"/>
        <rFont val="ＭＳ 明朝"/>
        <family val="1"/>
        <charset val="128"/>
      </rPr>
      <t>R</t>
    </r>
    <phoneticPr fontId="3"/>
  </si>
  <si>
    <r>
      <t>E</t>
    </r>
    <r>
      <rPr>
        <sz val="12"/>
        <rFont val="ＭＳ 明朝"/>
        <family val="1"/>
        <charset val="128"/>
      </rPr>
      <t>S</t>
    </r>
    <phoneticPr fontId="3"/>
  </si>
  <si>
    <r>
      <t>E</t>
    </r>
    <r>
      <rPr>
        <sz val="12"/>
        <rFont val="ＭＳ 明朝"/>
        <family val="1"/>
        <charset val="128"/>
      </rPr>
      <t>T</t>
    </r>
    <phoneticPr fontId="3"/>
  </si>
  <si>
    <r>
      <t>E</t>
    </r>
    <r>
      <rPr>
        <sz val="12"/>
        <rFont val="ＭＳ 明朝"/>
        <family val="1"/>
        <charset val="128"/>
      </rPr>
      <t>U</t>
    </r>
    <phoneticPr fontId="3"/>
  </si>
  <si>
    <r>
      <t>E</t>
    </r>
    <r>
      <rPr>
        <sz val="12"/>
        <rFont val="ＭＳ 明朝"/>
        <family val="1"/>
        <charset val="128"/>
      </rPr>
      <t>V</t>
    </r>
    <phoneticPr fontId="3"/>
  </si>
  <si>
    <r>
      <t>E</t>
    </r>
    <r>
      <rPr>
        <sz val="12"/>
        <rFont val="ＭＳ 明朝"/>
        <family val="1"/>
        <charset val="128"/>
      </rPr>
      <t>W</t>
    </r>
    <phoneticPr fontId="3"/>
  </si>
  <si>
    <r>
      <t>E</t>
    </r>
    <r>
      <rPr>
        <sz val="12"/>
        <rFont val="ＭＳ 明朝"/>
        <family val="1"/>
        <charset val="128"/>
      </rPr>
      <t>X</t>
    </r>
    <phoneticPr fontId="3"/>
  </si>
  <si>
    <r>
      <t>E</t>
    </r>
    <r>
      <rPr>
        <sz val="12"/>
        <rFont val="ＭＳ 明朝"/>
        <family val="1"/>
        <charset val="128"/>
      </rPr>
      <t>Y</t>
    </r>
    <phoneticPr fontId="3"/>
  </si>
  <si>
    <t>EZ</t>
    <phoneticPr fontId="3"/>
  </si>
  <si>
    <t>μB</t>
    <phoneticPr fontId="4"/>
  </si>
  <si>
    <t>×</t>
    <phoneticPr fontId="3"/>
  </si>
  <si>
    <t>たわみ</t>
    <phoneticPr fontId="3"/>
  </si>
  <si>
    <t>たわみ</t>
    <phoneticPr fontId="3"/>
  </si>
  <si>
    <t>Ae</t>
    <phoneticPr fontId="3"/>
  </si>
  <si>
    <r>
      <t>σb</t>
    </r>
    <r>
      <rPr>
        <sz val="12"/>
        <rFont val="ＭＳ 明朝"/>
        <family val="1"/>
        <charset val="128"/>
      </rPr>
      <t>/fb</t>
    </r>
    <phoneticPr fontId="4"/>
  </si>
  <si>
    <r>
      <t>δ/δ</t>
    </r>
    <r>
      <rPr>
        <sz val="12"/>
        <rFont val="ＭＳ 明朝"/>
        <family val="1"/>
        <charset val="128"/>
      </rPr>
      <t>'</t>
    </r>
    <phoneticPr fontId="4"/>
  </si>
  <si>
    <r>
      <t>σ</t>
    </r>
    <r>
      <rPr>
        <sz val="12"/>
        <rFont val="ＭＳ 明朝"/>
        <family val="1"/>
        <charset val="128"/>
      </rPr>
      <t>s/fs</t>
    </r>
    <phoneticPr fontId="4"/>
  </si>
  <si>
    <t>lcm</t>
    <phoneticPr fontId="3"/>
  </si>
  <si>
    <t>wcm</t>
    <phoneticPr fontId="3"/>
  </si>
  <si>
    <t>A</t>
    <phoneticPr fontId="3"/>
  </si>
  <si>
    <r>
      <t>σ</t>
    </r>
    <r>
      <rPr>
        <sz val="12"/>
        <rFont val="ＭＳ 明朝"/>
        <family val="1"/>
        <charset val="128"/>
      </rPr>
      <t>cv/fcv</t>
    </r>
    <phoneticPr fontId="4"/>
  </si>
  <si>
    <t>木材許容応力度</t>
    <rPh sb="0" eb="2">
      <t>モクザイ</t>
    </rPh>
    <rPh sb="2" eb="4">
      <t>キョヨウ</t>
    </rPh>
    <rPh sb="4" eb="6">
      <t>オウリョク</t>
    </rPh>
    <rPh sb="6" eb="7">
      <t>ド</t>
    </rPh>
    <phoneticPr fontId="4"/>
  </si>
  <si>
    <t>区分等級</t>
    <rPh sb="0" eb="2">
      <t>クブン</t>
    </rPh>
    <rPh sb="2" eb="4">
      <t>トウキュウ</t>
    </rPh>
    <phoneticPr fontId="3"/>
  </si>
  <si>
    <t>乙種構造材、三級                                       6</t>
    <rPh sb="0" eb="1">
      <t>オツ</t>
    </rPh>
    <rPh sb="1" eb="2">
      <t>タネ</t>
    </rPh>
    <rPh sb="2" eb="4">
      <t>コウゾウ</t>
    </rPh>
    <rPh sb="4" eb="5">
      <t>ザイ</t>
    </rPh>
    <rPh sb="6" eb="7">
      <t>サン</t>
    </rPh>
    <rPh sb="7" eb="8">
      <t>キュウ</t>
    </rPh>
    <phoneticPr fontId="3"/>
  </si>
  <si>
    <r>
      <t>N</t>
    </r>
    <r>
      <rPr>
        <sz val="12"/>
        <rFont val="ＭＳ 明朝"/>
        <family val="1"/>
        <charset val="128"/>
      </rPr>
      <t>o</t>
    </r>
    <phoneticPr fontId="3"/>
  </si>
  <si>
    <t>甲種構造</t>
    <rPh sb="0" eb="2">
      <t>コウシュ</t>
    </rPh>
    <rPh sb="2" eb="4">
      <t>コウゾウ</t>
    </rPh>
    <phoneticPr fontId="3"/>
  </si>
  <si>
    <t>一級</t>
    <rPh sb="0" eb="2">
      <t>イッキュウ</t>
    </rPh>
    <phoneticPr fontId="3"/>
  </si>
  <si>
    <t>Fc</t>
    <phoneticPr fontId="3"/>
  </si>
  <si>
    <t>Ft</t>
    <phoneticPr fontId="3"/>
  </si>
  <si>
    <t>Fb</t>
    <phoneticPr fontId="3"/>
  </si>
  <si>
    <t>Fs</t>
    <phoneticPr fontId="3"/>
  </si>
  <si>
    <t>Fcv</t>
    <phoneticPr fontId="3"/>
  </si>
  <si>
    <t>E</t>
    <phoneticPr fontId="3"/>
  </si>
  <si>
    <t>Fc</t>
    <phoneticPr fontId="3"/>
  </si>
  <si>
    <t>Ft</t>
    <phoneticPr fontId="3"/>
  </si>
  <si>
    <t>Fb</t>
    <phoneticPr fontId="3"/>
  </si>
  <si>
    <t>Fs</t>
    <phoneticPr fontId="3"/>
  </si>
  <si>
    <t>Fcv</t>
    <phoneticPr fontId="3"/>
  </si>
  <si>
    <t>E</t>
    <phoneticPr fontId="3"/>
  </si>
  <si>
    <t>ひば                                                      7</t>
    <phoneticPr fontId="3"/>
  </si>
  <si>
    <t>もみ                                             10</t>
    <phoneticPr fontId="3"/>
  </si>
  <si>
    <t>もみ                                             10</t>
    <phoneticPr fontId="3"/>
  </si>
  <si>
    <t>ぶな                                          17</t>
    <phoneticPr fontId="3"/>
  </si>
  <si>
    <t>二級</t>
    <rPh sb="0" eb="2">
      <t>ニキュウ</t>
    </rPh>
    <phoneticPr fontId="3"/>
  </si>
  <si>
    <t>Fc</t>
    <phoneticPr fontId="3"/>
  </si>
  <si>
    <t>Ft</t>
    <phoneticPr fontId="3"/>
  </si>
  <si>
    <t>Fb</t>
    <phoneticPr fontId="3"/>
  </si>
  <si>
    <t>Fs</t>
    <phoneticPr fontId="3"/>
  </si>
  <si>
    <t>Fcv</t>
    <phoneticPr fontId="3"/>
  </si>
  <si>
    <t>E</t>
    <phoneticPr fontId="3"/>
  </si>
  <si>
    <t>ひば                                                      7</t>
    <phoneticPr fontId="3"/>
  </si>
  <si>
    <t>もみ                                             10</t>
    <phoneticPr fontId="3"/>
  </si>
  <si>
    <t>三級</t>
    <rPh sb="0" eb="2">
      <t>サンキュウ</t>
    </rPh>
    <phoneticPr fontId="3"/>
  </si>
  <si>
    <t>乙種構造</t>
    <rPh sb="0" eb="2">
      <t>オツシュ</t>
    </rPh>
    <rPh sb="2" eb="4">
      <t>コウゾウ</t>
    </rPh>
    <phoneticPr fontId="3"/>
  </si>
  <si>
    <t>ひば                                                      7</t>
    <phoneticPr fontId="3"/>
  </si>
  <si>
    <t>もみ                                             10</t>
    <phoneticPr fontId="3"/>
  </si>
  <si>
    <t>ひば                                                      7</t>
    <phoneticPr fontId="3"/>
  </si>
  <si>
    <t>もみ                                             10</t>
    <phoneticPr fontId="3"/>
  </si>
  <si>
    <t>Fc</t>
    <phoneticPr fontId="3"/>
  </si>
  <si>
    <t>Ft</t>
    <phoneticPr fontId="3"/>
  </si>
  <si>
    <t>Fb</t>
    <phoneticPr fontId="3"/>
  </si>
  <si>
    <t>Fs</t>
    <phoneticPr fontId="3"/>
  </si>
  <si>
    <t>Fcv</t>
    <phoneticPr fontId="3"/>
  </si>
  <si>
    <t>E</t>
    <phoneticPr fontId="3"/>
  </si>
  <si>
    <t>E50</t>
    <phoneticPr fontId="3"/>
  </si>
  <si>
    <t>E50</t>
    <phoneticPr fontId="3"/>
  </si>
  <si>
    <t>E50</t>
    <phoneticPr fontId="3"/>
  </si>
  <si>
    <t>E50</t>
    <phoneticPr fontId="3"/>
  </si>
  <si>
    <t>ひば                                                      7</t>
    <phoneticPr fontId="3"/>
  </si>
  <si>
    <t>もみ                                             10</t>
    <phoneticPr fontId="3"/>
  </si>
  <si>
    <t>E70</t>
    <phoneticPr fontId="3"/>
  </si>
  <si>
    <t>E70</t>
    <phoneticPr fontId="3"/>
  </si>
  <si>
    <t>E70</t>
    <phoneticPr fontId="3"/>
  </si>
  <si>
    <t>E90</t>
    <phoneticPr fontId="3"/>
  </si>
  <si>
    <t>E90</t>
    <phoneticPr fontId="3"/>
  </si>
  <si>
    <t>E90</t>
    <phoneticPr fontId="3"/>
  </si>
  <si>
    <t>E110</t>
    <phoneticPr fontId="3"/>
  </si>
  <si>
    <t>E110</t>
    <phoneticPr fontId="3"/>
  </si>
  <si>
    <t>E110</t>
    <phoneticPr fontId="3"/>
  </si>
  <si>
    <t>E130</t>
    <phoneticPr fontId="3"/>
  </si>
  <si>
    <t>E130</t>
    <phoneticPr fontId="3"/>
  </si>
  <si>
    <t>E130</t>
    <phoneticPr fontId="3"/>
  </si>
  <si>
    <t>fc</t>
    <phoneticPr fontId="4"/>
  </si>
  <si>
    <t>fs</t>
    <phoneticPr fontId="4"/>
  </si>
  <si>
    <t>E</t>
    <phoneticPr fontId="4"/>
  </si>
  <si>
    <t>もみ                                             10</t>
    <phoneticPr fontId="3"/>
  </si>
  <si>
    <t>E150</t>
    <phoneticPr fontId="3"/>
  </si>
  <si>
    <t>E150</t>
    <phoneticPr fontId="3"/>
  </si>
  <si>
    <t>ぶな                                          17</t>
    <phoneticPr fontId="3"/>
  </si>
  <si>
    <t>E150</t>
    <phoneticPr fontId="3"/>
  </si>
  <si>
    <t>fc</t>
    <phoneticPr fontId="4"/>
  </si>
  <si>
    <t>ひば                                                      7</t>
    <phoneticPr fontId="3"/>
  </si>
  <si>
    <t>ぶな                                          17</t>
    <phoneticPr fontId="3"/>
  </si>
  <si>
    <t>甲種構造材、一級　　　　　　　　　　　　　　　　　　　　　　　1</t>
    <rPh sb="0" eb="2">
      <t>コウシュ</t>
    </rPh>
    <rPh sb="2" eb="4">
      <t>コウゾウ</t>
    </rPh>
    <rPh sb="4" eb="5">
      <t>ザイ</t>
    </rPh>
    <rPh sb="6" eb="8">
      <t>イッキュウ</t>
    </rPh>
    <phoneticPr fontId="3"/>
  </si>
  <si>
    <t>甲種構造材、二級                                  2</t>
    <rPh sb="0" eb="2">
      <t>コウシュ</t>
    </rPh>
    <rPh sb="2" eb="4">
      <t>コウゾウ</t>
    </rPh>
    <rPh sb="4" eb="5">
      <t>ザイ</t>
    </rPh>
    <rPh sb="6" eb="7">
      <t>ニ</t>
    </rPh>
    <rPh sb="7" eb="8">
      <t>キュウ</t>
    </rPh>
    <phoneticPr fontId="3"/>
  </si>
  <si>
    <t>甲種構造材、三級                                     3</t>
    <rPh sb="0" eb="2">
      <t>コウシュ</t>
    </rPh>
    <rPh sb="2" eb="4">
      <t>コウゾウ</t>
    </rPh>
    <rPh sb="4" eb="5">
      <t>ザイ</t>
    </rPh>
    <rPh sb="6" eb="7">
      <t>サン</t>
    </rPh>
    <rPh sb="7" eb="8">
      <t>キュウ</t>
    </rPh>
    <phoneticPr fontId="3"/>
  </si>
  <si>
    <t>乙種構造材、一級                                       4</t>
    <rPh sb="0" eb="1">
      <t>オツ</t>
    </rPh>
    <rPh sb="1" eb="2">
      <t>タネ</t>
    </rPh>
    <rPh sb="2" eb="4">
      <t>コウゾウ</t>
    </rPh>
    <rPh sb="4" eb="5">
      <t>ザイ</t>
    </rPh>
    <rPh sb="6" eb="8">
      <t>イッキュウ</t>
    </rPh>
    <phoneticPr fontId="3"/>
  </si>
  <si>
    <t>乙種構造材、二級                                                5</t>
    <rPh sb="0" eb="1">
      <t>オツ</t>
    </rPh>
    <rPh sb="1" eb="2">
      <t>タネ</t>
    </rPh>
    <rPh sb="2" eb="4">
      <t>コウゾウ</t>
    </rPh>
    <rPh sb="4" eb="5">
      <t>ザイ</t>
    </rPh>
    <rPh sb="6" eb="7">
      <t>ニ</t>
    </rPh>
    <rPh sb="7" eb="8">
      <t>キュウ</t>
    </rPh>
    <phoneticPr fontId="3"/>
  </si>
  <si>
    <t>区分なし、等級無                                               7</t>
    <rPh sb="0" eb="2">
      <t>クブン</t>
    </rPh>
    <rPh sb="5" eb="7">
      <t>トウキュウ</t>
    </rPh>
    <rPh sb="7" eb="8">
      <t>ム</t>
    </rPh>
    <phoneticPr fontId="3"/>
  </si>
  <si>
    <t>区分なし、E50                                         8</t>
    <rPh sb="0" eb="2">
      <t>クブン</t>
    </rPh>
    <phoneticPr fontId="3"/>
  </si>
  <si>
    <t>区分なし、E70                                                 9</t>
    <rPh sb="0" eb="2">
      <t>クブン</t>
    </rPh>
    <phoneticPr fontId="3"/>
  </si>
  <si>
    <t>区分なし、E90                                                   10</t>
    <rPh sb="0" eb="2">
      <t>クブン</t>
    </rPh>
    <phoneticPr fontId="3"/>
  </si>
  <si>
    <t>区分なし、E110                                                     11</t>
    <rPh sb="0" eb="2">
      <t>クブン</t>
    </rPh>
    <phoneticPr fontId="3"/>
  </si>
  <si>
    <t>区分なし、E130                                                       12</t>
    <rPh sb="0" eb="2">
      <t>クブン</t>
    </rPh>
    <phoneticPr fontId="3"/>
  </si>
  <si>
    <t>区分なし、E150                                                   13</t>
    <rPh sb="0" eb="2">
      <t>クブン</t>
    </rPh>
    <phoneticPr fontId="3"/>
  </si>
  <si>
    <t>けやき</t>
    <phoneticPr fontId="4"/>
  </si>
  <si>
    <t>ｽﾌﾟﾙｰｽ</t>
    <phoneticPr fontId="4"/>
  </si>
  <si>
    <t>からまつ</t>
    <phoneticPr fontId="4"/>
  </si>
  <si>
    <t>えぞまつ</t>
    <phoneticPr fontId="4"/>
  </si>
  <si>
    <t>とどまつ</t>
    <phoneticPr fontId="4"/>
  </si>
  <si>
    <t xml:space="preserve">  ひば                           5</t>
    <phoneticPr fontId="4"/>
  </si>
  <si>
    <t xml:space="preserve"> べいひ                         6</t>
    <phoneticPr fontId="4"/>
  </si>
  <si>
    <t xml:space="preserve">  つが                             7</t>
    <phoneticPr fontId="4"/>
  </si>
  <si>
    <t xml:space="preserve"> けやき                          8</t>
    <phoneticPr fontId="4"/>
  </si>
  <si>
    <t xml:space="preserve"> ｽﾌﾟﾙｰｽ                          9</t>
    <phoneticPr fontId="4"/>
  </si>
  <si>
    <t>からまつ                       10</t>
    <phoneticPr fontId="4"/>
  </si>
  <si>
    <t>えぞまつ                        11</t>
    <phoneticPr fontId="4"/>
  </si>
  <si>
    <t>とどまつ                       12</t>
    <phoneticPr fontId="4"/>
  </si>
  <si>
    <t>ひば</t>
    <phoneticPr fontId="4"/>
  </si>
  <si>
    <t>べいひ</t>
    <phoneticPr fontId="4"/>
  </si>
  <si>
    <t>つが</t>
    <phoneticPr fontId="4"/>
  </si>
  <si>
    <t>fb=</t>
    <phoneticPr fontId="4"/>
  </si>
  <si>
    <t>fs=</t>
    <phoneticPr fontId="4"/>
  </si>
  <si>
    <t>E</t>
    <phoneticPr fontId="4"/>
  </si>
  <si>
    <t>ft</t>
    <phoneticPr fontId="4"/>
  </si>
  <si>
    <t>甲種構造材</t>
    <rPh sb="0" eb="2">
      <t>コウシュ</t>
    </rPh>
    <rPh sb="2" eb="4">
      <t>コウゾウ</t>
    </rPh>
    <rPh sb="4" eb="5">
      <t>ザイ</t>
    </rPh>
    <phoneticPr fontId="3"/>
  </si>
  <si>
    <t>二級</t>
    <rPh sb="0" eb="1">
      <t>ニ</t>
    </rPh>
    <rPh sb="1" eb="2">
      <t>キュウ</t>
    </rPh>
    <phoneticPr fontId="3"/>
  </si>
  <si>
    <t>三級</t>
    <rPh sb="0" eb="1">
      <t>サン</t>
    </rPh>
    <rPh sb="1" eb="2">
      <t>キュウ</t>
    </rPh>
    <phoneticPr fontId="3"/>
  </si>
  <si>
    <t>乙種構造材</t>
    <rPh sb="0" eb="1">
      <t>オツ</t>
    </rPh>
    <rPh sb="1" eb="2">
      <t>タネ</t>
    </rPh>
    <rPh sb="2" eb="4">
      <t>コウゾウ</t>
    </rPh>
    <rPh sb="4" eb="5">
      <t>ザイ</t>
    </rPh>
    <phoneticPr fontId="3"/>
  </si>
  <si>
    <t>等級無し</t>
    <rPh sb="0" eb="2">
      <t>トウキュウ</t>
    </rPh>
    <rPh sb="2" eb="3">
      <t>ム</t>
    </rPh>
    <phoneticPr fontId="3"/>
  </si>
  <si>
    <t>E70</t>
    <phoneticPr fontId="3"/>
  </si>
  <si>
    <t>E90</t>
    <phoneticPr fontId="3"/>
  </si>
  <si>
    <t>E110</t>
    <phoneticPr fontId="3"/>
  </si>
  <si>
    <t>E130</t>
    <phoneticPr fontId="3"/>
  </si>
  <si>
    <t>E150</t>
    <phoneticPr fontId="3"/>
  </si>
  <si>
    <t>一般　　　　          150</t>
  </si>
  <si>
    <t>区分,等級</t>
    <rPh sb="0" eb="2">
      <t>クブン</t>
    </rPh>
    <rPh sb="3" eb="5">
      <t>トウキュウ</t>
    </rPh>
    <phoneticPr fontId="3"/>
  </si>
  <si>
    <t>N/fc</t>
    <phoneticPr fontId="3"/>
  </si>
  <si>
    <t>凡例</t>
    <rPh sb="0" eb="2">
      <t>ハンレイ</t>
    </rPh>
    <phoneticPr fontId="3"/>
  </si>
  <si>
    <t>(白地は数値書き入れ、黄地はﾎﾞﾀﾝ､その他の色は書き入れ不可)</t>
    <rPh sb="1" eb="2">
      <t>シロ</t>
    </rPh>
    <rPh sb="2" eb="3">
      <t>チ</t>
    </rPh>
    <rPh sb="4" eb="6">
      <t>スウチ</t>
    </rPh>
    <rPh sb="6" eb="7">
      <t>カ</t>
    </rPh>
    <rPh sb="8" eb="9">
      <t>イ</t>
    </rPh>
    <rPh sb="11" eb="12">
      <t>キ</t>
    </rPh>
    <rPh sb="12" eb="13">
      <t>チ</t>
    </rPh>
    <rPh sb="21" eb="22">
      <t>タ</t>
    </rPh>
    <rPh sb="23" eb="24">
      <t>イロ</t>
    </rPh>
    <rPh sb="25" eb="26">
      <t>カ</t>
    </rPh>
    <rPh sb="27" eb="28">
      <t>イ</t>
    </rPh>
    <rPh sb="29" eb="31">
      <t>フカ</t>
    </rPh>
    <phoneticPr fontId="3"/>
  </si>
  <si>
    <t>積雪短期</t>
    <rPh sb="0" eb="2">
      <t>セキセツ</t>
    </rPh>
    <rPh sb="2" eb="4">
      <t>タンキ</t>
    </rPh>
    <phoneticPr fontId="3"/>
  </si>
  <si>
    <t>積雪長期</t>
    <rPh sb="0" eb="2">
      <t>セキセツ</t>
    </rPh>
    <rPh sb="2" eb="4">
      <t>チョウキ</t>
    </rPh>
    <phoneticPr fontId="3"/>
  </si>
  <si>
    <r>
      <t>5</t>
    </r>
    <r>
      <rPr>
        <sz val="12"/>
        <rFont val="ＭＳ 明朝"/>
        <family val="1"/>
        <charset val="128"/>
      </rPr>
      <t>0%E</t>
    </r>
    <phoneticPr fontId="3"/>
  </si>
  <si>
    <r>
      <t>1</t>
    </r>
    <r>
      <rPr>
        <sz val="12"/>
        <rFont val="ＭＳ 明朝"/>
        <family val="1"/>
        <charset val="128"/>
      </rPr>
      <t>00%E</t>
    </r>
    <phoneticPr fontId="3"/>
  </si>
  <si>
    <t>人が生活をする床</t>
    <rPh sb="0" eb="1">
      <t>ヒト</t>
    </rPh>
    <rPh sb="2" eb="4">
      <t>セイカツ</t>
    </rPh>
    <rPh sb="7" eb="8">
      <t>ユカ</t>
    </rPh>
    <phoneticPr fontId="3"/>
  </si>
  <si>
    <t>1/600</t>
    <phoneticPr fontId="3"/>
  </si>
  <si>
    <t>1/225</t>
    <phoneticPr fontId="3"/>
  </si>
  <si>
    <t>1/300</t>
    <phoneticPr fontId="3"/>
  </si>
  <si>
    <t>根太</t>
    <rPh sb="0" eb="2">
      <t>ネダ</t>
    </rPh>
    <phoneticPr fontId="3"/>
  </si>
  <si>
    <r>
      <t>1</t>
    </r>
    <r>
      <rPr>
        <sz val="12"/>
        <rFont val="ＭＳ 明朝"/>
        <family val="1"/>
        <charset val="128"/>
      </rPr>
      <t>/300</t>
    </r>
    <phoneticPr fontId="3"/>
  </si>
  <si>
    <r>
      <t>1</t>
    </r>
    <r>
      <rPr>
        <sz val="12"/>
        <rFont val="ＭＳ 明朝"/>
        <family val="1"/>
        <charset val="128"/>
      </rPr>
      <t>/225</t>
    </r>
    <phoneticPr fontId="3"/>
  </si>
  <si>
    <t>-</t>
    <phoneticPr fontId="3"/>
  </si>
  <si>
    <t>その他(屋根等)</t>
    <rPh sb="2" eb="3">
      <t>タ</t>
    </rPh>
    <rPh sb="4" eb="6">
      <t>ヤネ</t>
    </rPh>
    <rPh sb="6" eb="7">
      <t>トウ</t>
    </rPh>
    <phoneticPr fontId="3"/>
  </si>
  <si>
    <t>1/400</t>
    <phoneticPr fontId="3"/>
  </si>
  <si>
    <t>1/150</t>
    <phoneticPr fontId="3"/>
  </si>
  <si>
    <t>1/200</t>
    <phoneticPr fontId="3"/>
  </si>
  <si>
    <t>垂木</t>
    <rPh sb="0" eb="2">
      <t>タルキ</t>
    </rPh>
    <phoneticPr fontId="3"/>
  </si>
  <si>
    <r>
      <t>1</t>
    </r>
    <r>
      <rPr>
        <sz val="12"/>
        <rFont val="ＭＳ 明朝"/>
        <family val="1"/>
        <charset val="128"/>
      </rPr>
      <t>/200</t>
    </r>
    <phoneticPr fontId="3"/>
  </si>
  <si>
    <r>
      <t>1</t>
    </r>
    <r>
      <rPr>
        <sz val="12"/>
        <rFont val="ＭＳ 明朝"/>
        <family val="1"/>
        <charset val="128"/>
      </rPr>
      <t>/150</t>
    </r>
    <phoneticPr fontId="3"/>
  </si>
  <si>
    <r>
      <t>1</t>
    </r>
    <r>
      <rPr>
        <sz val="12"/>
        <rFont val="ＭＳ 明朝"/>
        <family val="1"/>
        <charset val="128"/>
      </rPr>
      <t>/400</t>
    </r>
    <phoneticPr fontId="3"/>
  </si>
  <si>
    <t>母屋棟木</t>
    <rPh sb="0" eb="2">
      <t>モヤ</t>
    </rPh>
    <rPh sb="2" eb="3">
      <t>ムネ</t>
    </rPh>
    <rPh sb="3" eb="4">
      <t>キ</t>
    </rPh>
    <phoneticPr fontId="3"/>
  </si>
  <si>
    <r>
      <t>1</t>
    </r>
    <r>
      <rPr>
        <sz val="12"/>
        <rFont val="ＭＳ 明朝"/>
        <family val="1"/>
        <charset val="128"/>
      </rPr>
      <t>/200</t>
    </r>
    <phoneticPr fontId="3"/>
  </si>
  <si>
    <r>
      <t>1</t>
    </r>
    <r>
      <rPr>
        <sz val="12"/>
        <rFont val="ＭＳ 明朝"/>
        <family val="1"/>
        <charset val="128"/>
      </rPr>
      <t>/150</t>
    </r>
    <phoneticPr fontId="3"/>
  </si>
  <si>
    <t>小梁</t>
    <rPh sb="0" eb="1">
      <t>コ</t>
    </rPh>
    <rPh sb="1" eb="2">
      <t>ハリ</t>
    </rPh>
    <phoneticPr fontId="3"/>
  </si>
  <si>
    <r>
      <t>1</t>
    </r>
    <r>
      <rPr>
        <sz val="12"/>
        <rFont val="ＭＳ 明朝"/>
        <family val="1"/>
        <charset val="128"/>
      </rPr>
      <t>/300</t>
    </r>
    <phoneticPr fontId="3"/>
  </si>
  <si>
    <t>-</t>
    <phoneticPr fontId="3"/>
  </si>
  <si>
    <r>
      <t>1</t>
    </r>
    <r>
      <rPr>
        <sz val="12"/>
        <rFont val="ＭＳ 明朝"/>
        <family val="1"/>
        <charset val="128"/>
      </rPr>
      <t>/600</t>
    </r>
    <phoneticPr fontId="3"/>
  </si>
  <si>
    <t>小屋梁</t>
    <rPh sb="0" eb="2">
      <t>コヤ</t>
    </rPh>
    <rPh sb="2" eb="3">
      <t>ハリ</t>
    </rPh>
    <phoneticPr fontId="3"/>
  </si>
  <si>
    <r>
      <t>1</t>
    </r>
    <r>
      <rPr>
        <sz val="12"/>
        <rFont val="ＭＳ 明朝"/>
        <family val="1"/>
        <charset val="128"/>
      </rPr>
      <t>/200</t>
    </r>
    <phoneticPr fontId="3"/>
  </si>
  <si>
    <r>
      <t>1</t>
    </r>
    <r>
      <rPr>
        <sz val="12"/>
        <rFont val="ＭＳ 明朝"/>
        <family val="1"/>
        <charset val="128"/>
      </rPr>
      <t>/150</t>
    </r>
    <phoneticPr fontId="3"/>
  </si>
  <si>
    <r>
      <t>1</t>
    </r>
    <r>
      <rPr>
        <sz val="12"/>
        <rFont val="ＭＳ 明朝"/>
        <family val="1"/>
        <charset val="128"/>
      </rPr>
      <t>/400</t>
    </r>
    <phoneticPr fontId="3"/>
  </si>
  <si>
    <t>軒桁</t>
    <rPh sb="0" eb="1">
      <t>ノキ</t>
    </rPh>
    <rPh sb="1" eb="2">
      <t>ケタ</t>
    </rPh>
    <phoneticPr fontId="3"/>
  </si>
  <si>
    <r>
      <t>1</t>
    </r>
    <r>
      <rPr>
        <sz val="12"/>
        <rFont val="ＭＳ 明朝"/>
        <family val="1"/>
        <charset val="128"/>
      </rPr>
      <t>/200</t>
    </r>
    <phoneticPr fontId="3"/>
  </si>
  <si>
    <r>
      <t>1</t>
    </r>
    <r>
      <rPr>
        <sz val="12"/>
        <rFont val="ＭＳ 明朝"/>
        <family val="1"/>
        <charset val="128"/>
      </rPr>
      <t>/150</t>
    </r>
    <phoneticPr fontId="3"/>
  </si>
  <si>
    <r>
      <t>1</t>
    </r>
    <r>
      <rPr>
        <sz val="12"/>
        <rFont val="ＭＳ 明朝"/>
        <family val="1"/>
        <charset val="128"/>
      </rPr>
      <t>/400</t>
    </r>
    <phoneticPr fontId="3"/>
  </si>
  <si>
    <t>床梁胴差</t>
    <rPh sb="0" eb="1">
      <t>ユカ</t>
    </rPh>
    <rPh sb="1" eb="2">
      <t>ハリ</t>
    </rPh>
    <rPh sb="2" eb="3">
      <t>ドウ</t>
    </rPh>
    <rPh sb="3" eb="4">
      <t>サ</t>
    </rPh>
    <phoneticPr fontId="3"/>
  </si>
  <si>
    <r>
      <t>1</t>
    </r>
    <r>
      <rPr>
        <sz val="12"/>
        <rFont val="ＭＳ 明朝"/>
        <family val="1"/>
        <charset val="128"/>
      </rPr>
      <t>/300</t>
    </r>
    <phoneticPr fontId="3"/>
  </si>
  <si>
    <r>
      <t>1</t>
    </r>
    <r>
      <rPr>
        <sz val="12"/>
        <rFont val="ＭＳ 明朝"/>
        <family val="1"/>
        <charset val="128"/>
      </rPr>
      <t>/225</t>
    </r>
    <phoneticPr fontId="3"/>
  </si>
  <si>
    <r>
      <t>1</t>
    </r>
    <r>
      <rPr>
        <sz val="12"/>
        <rFont val="ＭＳ 明朝"/>
        <family val="1"/>
        <charset val="128"/>
      </rPr>
      <t>/600</t>
    </r>
    <phoneticPr fontId="3"/>
  </si>
  <si>
    <t>N/cm</t>
    <phoneticPr fontId="3"/>
  </si>
  <si>
    <t>FA</t>
    <phoneticPr fontId="3"/>
  </si>
  <si>
    <t>FB</t>
    <phoneticPr fontId="3"/>
  </si>
  <si>
    <t>FC</t>
    <phoneticPr fontId="3"/>
  </si>
  <si>
    <t>FD</t>
    <phoneticPr fontId="3"/>
  </si>
  <si>
    <t>FE</t>
    <phoneticPr fontId="3"/>
  </si>
  <si>
    <t>FF</t>
    <phoneticPr fontId="3"/>
  </si>
  <si>
    <t>S</t>
    <phoneticPr fontId="3"/>
  </si>
  <si>
    <t>δ'(1/)</t>
    <phoneticPr fontId="3"/>
  </si>
  <si>
    <t>δ'</t>
    <phoneticPr fontId="3"/>
  </si>
  <si>
    <t>δ/δ'</t>
    <phoneticPr fontId="4"/>
  </si>
  <si>
    <t>L</t>
    <phoneticPr fontId="3"/>
  </si>
  <si>
    <t>Sσs</t>
    <phoneticPr fontId="4"/>
  </si>
  <si>
    <t>めり込み用端部(仕口等の見返面積)</t>
    <rPh sb="2" eb="3">
      <t>コ</t>
    </rPh>
    <rPh sb="4" eb="5">
      <t>ヨウ</t>
    </rPh>
    <rPh sb="5" eb="6">
      <t>ハシ</t>
    </rPh>
    <rPh sb="6" eb="7">
      <t>ブ</t>
    </rPh>
    <rPh sb="8" eb="9">
      <t>シ</t>
    </rPh>
    <rPh sb="9" eb="10">
      <t>クチ</t>
    </rPh>
    <rPh sb="10" eb="11">
      <t>トウ</t>
    </rPh>
    <rPh sb="12" eb="13">
      <t>ミ</t>
    </rPh>
    <rPh sb="13" eb="14">
      <t>カエ</t>
    </rPh>
    <rPh sb="14" eb="16">
      <t>メンセキ</t>
    </rPh>
    <phoneticPr fontId="3"/>
  </si>
  <si>
    <r>
      <t>σ</t>
    </r>
    <r>
      <rPr>
        <sz val="12"/>
        <rFont val="ＭＳ 明朝"/>
        <family val="1"/>
        <charset val="128"/>
      </rPr>
      <t>cv/  fcv</t>
    </r>
    <phoneticPr fontId="4"/>
  </si>
  <si>
    <t>仕口長</t>
    <rPh sb="0" eb="1">
      <t>シ</t>
    </rPh>
    <rPh sb="1" eb="2">
      <t>クチ</t>
    </rPh>
    <rPh sb="2" eb="3">
      <t>チョウ</t>
    </rPh>
    <phoneticPr fontId="3"/>
  </si>
  <si>
    <t>仕口幅</t>
    <rPh sb="0" eb="1">
      <t>シ</t>
    </rPh>
    <rPh sb="1" eb="2">
      <t>クチ</t>
    </rPh>
    <rPh sb="2" eb="3">
      <t>ハバ</t>
    </rPh>
    <phoneticPr fontId="3"/>
  </si>
  <si>
    <t>跳出梁</t>
    <rPh sb="0" eb="1">
      <t>ハ</t>
    </rPh>
    <rPh sb="1" eb="2">
      <t>デ</t>
    </rPh>
    <rPh sb="2" eb="3">
      <t>ハリ</t>
    </rPh>
    <phoneticPr fontId="3"/>
  </si>
  <si>
    <t>跳出部</t>
    <rPh sb="0" eb="1">
      <t>ハ</t>
    </rPh>
    <rPh sb="1" eb="2">
      <t>デ</t>
    </rPh>
    <rPh sb="2" eb="3">
      <t>ブ</t>
    </rPh>
    <phoneticPr fontId="3"/>
  </si>
  <si>
    <t>一般部</t>
    <rPh sb="0" eb="2">
      <t>イッパン</t>
    </rPh>
    <rPh sb="2" eb="3">
      <t>ブ</t>
    </rPh>
    <phoneticPr fontId="3"/>
  </si>
  <si>
    <t>床別</t>
    <rPh sb="0" eb="1">
      <t>ユカ</t>
    </rPh>
    <rPh sb="1" eb="2">
      <t>ベツ</t>
    </rPh>
    <phoneticPr fontId="3"/>
  </si>
  <si>
    <t>Xo</t>
    <phoneticPr fontId="3"/>
  </si>
  <si>
    <t>E</t>
    <phoneticPr fontId="3"/>
  </si>
  <si>
    <t>跳出先端直角部壁長m</t>
    <rPh sb="0" eb="1">
      <t>ハ</t>
    </rPh>
    <rPh sb="1" eb="2">
      <t>デ</t>
    </rPh>
    <rPh sb="2" eb="4">
      <t>センタン</t>
    </rPh>
    <rPh sb="4" eb="6">
      <t>チョッカク</t>
    </rPh>
    <rPh sb="6" eb="7">
      <t>ブ</t>
    </rPh>
    <rPh sb="7" eb="8">
      <t>カベ</t>
    </rPh>
    <rPh sb="8" eb="9">
      <t>チョウ</t>
    </rPh>
    <phoneticPr fontId="3"/>
  </si>
  <si>
    <t>ﾗｽﾓﾙﾀﾙ塗り            750</t>
  </si>
  <si>
    <t>金属手摺</t>
    <rPh sb="0" eb="2">
      <t>キンゾク</t>
    </rPh>
    <rPh sb="2" eb="4">
      <t>テスリ</t>
    </rPh>
    <phoneticPr fontId="3"/>
  </si>
  <si>
    <t>壁(1)</t>
    <rPh sb="0" eb="1">
      <t>カベ</t>
    </rPh>
    <phoneticPr fontId="4"/>
  </si>
  <si>
    <t>壁(2)</t>
    <rPh sb="0" eb="1">
      <t>カベ</t>
    </rPh>
    <phoneticPr fontId="4"/>
  </si>
  <si>
    <t>壁(3)</t>
    <rPh sb="0" eb="1">
      <t>カベ</t>
    </rPh>
    <phoneticPr fontId="4"/>
  </si>
  <si>
    <t>壁(4)</t>
    <rPh sb="0" eb="1">
      <t>カベ</t>
    </rPh>
    <phoneticPr fontId="4"/>
  </si>
  <si>
    <t>壁(5)</t>
    <rPh sb="0" eb="1">
      <t>カベ</t>
    </rPh>
    <phoneticPr fontId="4"/>
  </si>
  <si>
    <r>
      <t xml:space="preserve"> </t>
    </r>
    <r>
      <rPr>
        <sz val="12"/>
        <rFont val="ＭＳ 明朝"/>
        <family val="1"/>
        <charset val="128"/>
      </rPr>
      <t>壁1</t>
    </r>
    <r>
      <rPr>
        <sz val="12"/>
        <rFont val="ＭＳ 明朝"/>
        <family val="1"/>
        <charset val="128"/>
      </rPr>
      <t xml:space="preserve">                                                  1</t>
    </r>
    <rPh sb="1" eb="2">
      <t>カベ</t>
    </rPh>
    <phoneticPr fontId="3"/>
  </si>
  <si>
    <r>
      <t xml:space="preserve"> </t>
    </r>
    <r>
      <rPr>
        <sz val="12"/>
        <rFont val="ＭＳ 明朝"/>
        <family val="1"/>
        <charset val="128"/>
      </rPr>
      <t>壁2</t>
    </r>
    <r>
      <rPr>
        <sz val="12"/>
        <rFont val="ＭＳ 明朝"/>
        <family val="1"/>
        <charset val="128"/>
      </rPr>
      <t xml:space="preserve">                                                 2</t>
    </r>
    <rPh sb="1" eb="2">
      <t>カベ</t>
    </rPh>
    <phoneticPr fontId="3"/>
  </si>
  <si>
    <r>
      <t xml:space="preserve"> </t>
    </r>
    <r>
      <rPr>
        <sz val="12"/>
        <rFont val="ＭＳ 明朝"/>
        <family val="1"/>
        <charset val="128"/>
      </rPr>
      <t>壁3</t>
    </r>
    <r>
      <rPr>
        <sz val="12"/>
        <rFont val="ＭＳ 明朝"/>
        <family val="1"/>
        <charset val="128"/>
      </rPr>
      <t xml:space="preserve">                                            3</t>
    </r>
    <rPh sb="1" eb="2">
      <t>カベ</t>
    </rPh>
    <phoneticPr fontId="3"/>
  </si>
  <si>
    <r>
      <t xml:space="preserve"> </t>
    </r>
    <r>
      <rPr>
        <sz val="12"/>
        <rFont val="ＭＳ 明朝"/>
        <family val="1"/>
        <charset val="128"/>
      </rPr>
      <t>壁4</t>
    </r>
    <r>
      <rPr>
        <sz val="12"/>
        <rFont val="ＭＳ 明朝"/>
        <family val="1"/>
        <charset val="128"/>
      </rPr>
      <t xml:space="preserve">                                           4</t>
    </r>
    <rPh sb="1" eb="2">
      <t>カベ</t>
    </rPh>
    <phoneticPr fontId="3"/>
  </si>
  <si>
    <r>
      <t xml:space="preserve"> </t>
    </r>
    <r>
      <rPr>
        <sz val="12"/>
        <rFont val="ＭＳ 明朝"/>
        <family val="1"/>
        <charset val="128"/>
      </rPr>
      <t>壁5</t>
    </r>
    <r>
      <rPr>
        <sz val="12"/>
        <rFont val="ＭＳ 明朝"/>
        <family val="1"/>
        <charset val="128"/>
      </rPr>
      <t xml:space="preserve">                                                 5</t>
    </r>
    <rPh sb="1" eb="2">
      <t>カベ</t>
    </rPh>
    <phoneticPr fontId="3"/>
  </si>
  <si>
    <t xml:space="preserve"> 手摺                                                               6</t>
    <rPh sb="1" eb="3">
      <t>テスリ</t>
    </rPh>
    <phoneticPr fontId="3"/>
  </si>
  <si>
    <t>跳出先端直角部壁</t>
    <rPh sb="0" eb="1">
      <t>ハ</t>
    </rPh>
    <rPh sb="1" eb="2">
      <t>デ</t>
    </rPh>
    <rPh sb="2" eb="4">
      <t>センタン</t>
    </rPh>
    <rPh sb="4" eb="6">
      <t>チョッカク</t>
    </rPh>
    <rPh sb="6" eb="7">
      <t>ブ</t>
    </rPh>
    <rPh sb="7" eb="8">
      <t>カベ</t>
    </rPh>
    <phoneticPr fontId="3"/>
  </si>
  <si>
    <t>梁上部壁</t>
    <rPh sb="0" eb="1">
      <t>ハリ</t>
    </rPh>
    <rPh sb="1" eb="2">
      <t>ウエ</t>
    </rPh>
    <rPh sb="2" eb="3">
      <t>ブ</t>
    </rPh>
    <rPh sb="3" eb="4">
      <t>カベ</t>
    </rPh>
    <phoneticPr fontId="3"/>
  </si>
  <si>
    <t>簡単木構造部材断面算定</t>
    <rPh sb="0" eb="2">
      <t>カンタン</t>
    </rPh>
    <rPh sb="2" eb="3">
      <t>キ</t>
    </rPh>
    <rPh sb="3" eb="5">
      <t>コウゾウ</t>
    </rPh>
    <rPh sb="5" eb="6">
      <t>ブ</t>
    </rPh>
    <rPh sb="6" eb="7">
      <t>ザイ</t>
    </rPh>
    <rPh sb="7" eb="9">
      <t>ダンメン</t>
    </rPh>
    <rPh sb="9" eb="11">
      <t>サンテイ</t>
    </rPh>
    <phoneticPr fontId="3"/>
  </si>
  <si>
    <t>使用説明</t>
    <rPh sb="0" eb="2">
      <t>シヨウ</t>
    </rPh>
    <rPh sb="2" eb="4">
      <t>セツメイ</t>
    </rPh>
    <phoneticPr fontId="3"/>
  </si>
  <si>
    <t>準備の黄色部分を「ﾎﾞﾀﾝ」で決定する。</t>
    <rPh sb="0" eb="2">
      <t>ジュンビ</t>
    </rPh>
    <rPh sb="3" eb="5">
      <t>キイロ</t>
    </rPh>
    <rPh sb="5" eb="7">
      <t>ブブン</t>
    </rPh>
    <rPh sb="15" eb="17">
      <t>ケッテイ</t>
    </rPh>
    <phoneticPr fontId="3"/>
  </si>
  <si>
    <t>断面算定にする。</t>
    <rPh sb="0" eb="2">
      <t>ダンメン</t>
    </rPh>
    <rPh sb="2" eb="4">
      <t>サンテイ</t>
    </rPh>
    <phoneticPr fontId="3"/>
  </si>
  <si>
    <t>多雪地域　　　　　　　 1</t>
  </si>
  <si>
    <t>区分、等級の黄色の部分を「ﾎﾞﾀﾝ」で決定する。</t>
    <rPh sb="0" eb="2">
      <t>クブン</t>
    </rPh>
    <rPh sb="3" eb="5">
      <t>トウキュウ</t>
    </rPh>
    <rPh sb="6" eb="8">
      <t>キイロ</t>
    </rPh>
    <rPh sb="9" eb="11">
      <t>ブブン</t>
    </rPh>
    <rPh sb="19" eb="21">
      <t>ケッテイ</t>
    </rPh>
    <phoneticPr fontId="3"/>
  </si>
  <si>
    <t>(材種の区分、等級)、一般材は区分なし、等級なしとする。</t>
    <rPh sb="1" eb="3">
      <t>ザイシュ</t>
    </rPh>
    <rPh sb="4" eb="6">
      <t>クブン</t>
    </rPh>
    <rPh sb="7" eb="9">
      <t>トウキュウ</t>
    </rPh>
    <rPh sb="11" eb="13">
      <t>イッパン</t>
    </rPh>
    <rPh sb="13" eb="14">
      <t>ザイ</t>
    </rPh>
    <rPh sb="15" eb="17">
      <t>クブン</t>
    </rPh>
    <rPh sb="20" eb="22">
      <t>トウキュウ</t>
    </rPh>
    <phoneticPr fontId="3"/>
  </si>
  <si>
    <t>品格法の等級を「ﾎﾞﾀﾝ」で決定する(多雪地域のみ)。</t>
    <rPh sb="0" eb="2">
      <t>ヒンカク</t>
    </rPh>
    <rPh sb="2" eb="3">
      <t>ホウ</t>
    </rPh>
    <rPh sb="4" eb="6">
      <t>トウキュウ</t>
    </rPh>
    <rPh sb="14" eb="16">
      <t>ケッテイ</t>
    </rPh>
    <rPh sb="19" eb="20">
      <t>タ</t>
    </rPh>
    <rPh sb="20" eb="21">
      <t>ユキ</t>
    </rPh>
    <rPh sb="21" eb="23">
      <t>チイキ</t>
    </rPh>
    <phoneticPr fontId="3"/>
  </si>
  <si>
    <t>以下白地は数値書き入れ、黄地はﾎﾞﾀﾝ､その他の色は書き入れ不可</t>
    <rPh sb="0" eb="2">
      <t>イカ</t>
    </rPh>
    <rPh sb="2" eb="3">
      <t>シロ</t>
    </rPh>
    <rPh sb="3" eb="4">
      <t>チ</t>
    </rPh>
    <rPh sb="5" eb="7">
      <t>スウチ</t>
    </rPh>
    <rPh sb="7" eb="8">
      <t>カ</t>
    </rPh>
    <rPh sb="9" eb="10">
      <t>イ</t>
    </rPh>
    <rPh sb="12" eb="13">
      <t>キ</t>
    </rPh>
    <rPh sb="13" eb="14">
      <t>チ</t>
    </rPh>
    <rPh sb="22" eb="23">
      <t>タ</t>
    </rPh>
    <rPh sb="24" eb="25">
      <t>イロ</t>
    </rPh>
    <rPh sb="26" eb="27">
      <t>カ</t>
    </rPh>
    <rPh sb="28" eb="29">
      <t>イ</t>
    </rPh>
    <rPh sb="30" eb="32">
      <t>フカ</t>
    </rPh>
    <phoneticPr fontId="3"/>
  </si>
  <si>
    <t>屋根勾配、材のﾋﾟｯﾁ､ｽﾊﾟﾝを書き入れ、樹種を決定する。</t>
    <rPh sb="0" eb="2">
      <t>ヤネ</t>
    </rPh>
    <rPh sb="2" eb="4">
      <t>コウバイ</t>
    </rPh>
    <rPh sb="5" eb="6">
      <t>ザイ</t>
    </rPh>
    <rPh sb="17" eb="18">
      <t>カ</t>
    </rPh>
    <rPh sb="19" eb="20">
      <t>イ</t>
    </rPh>
    <rPh sb="22" eb="24">
      <t>ジュシュ</t>
    </rPh>
    <rPh sb="25" eb="27">
      <t>ケッテイ</t>
    </rPh>
    <phoneticPr fontId="3"/>
  </si>
  <si>
    <t>断面のBは材の幅、Hは材の高さ、丸太材は直径</t>
    <rPh sb="0" eb="2">
      <t>ダンメン</t>
    </rPh>
    <rPh sb="5" eb="6">
      <t>ザイ</t>
    </rPh>
    <rPh sb="7" eb="8">
      <t>ハバ</t>
    </rPh>
    <rPh sb="11" eb="12">
      <t>ザイ</t>
    </rPh>
    <rPh sb="13" eb="14">
      <t>タカ</t>
    </rPh>
    <rPh sb="16" eb="18">
      <t>マルタ</t>
    </rPh>
    <rPh sb="18" eb="19">
      <t>ザイ</t>
    </rPh>
    <rPh sb="20" eb="22">
      <t>チョッケイ</t>
    </rPh>
    <phoneticPr fontId="3"/>
  </si>
  <si>
    <t>せん断は、端部仕口の幅bcmを書き入れで高さhcmが決定する</t>
    <rPh sb="2" eb="3">
      <t>ダン</t>
    </rPh>
    <rPh sb="5" eb="6">
      <t>ハシ</t>
    </rPh>
    <rPh sb="6" eb="7">
      <t>ブ</t>
    </rPh>
    <rPh sb="7" eb="8">
      <t>シ</t>
    </rPh>
    <rPh sb="8" eb="9">
      <t>クチ</t>
    </rPh>
    <rPh sb="10" eb="11">
      <t>ハバ</t>
    </rPh>
    <rPh sb="15" eb="16">
      <t>カ</t>
    </rPh>
    <rPh sb="17" eb="18">
      <t>イ</t>
    </rPh>
    <rPh sb="20" eb="21">
      <t>タカ</t>
    </rPh>
    <rPh sb="26" eb="28">
      <t>ケッテイ</t>
    </rPh>
    <phoneticPr fontId="3"/>
  </si>
  <si>
    <t>尚、せん断用断面Hmmは、断面Hmm以上の材を使用した場合の木口面積を検討</t>
    <rPh sb="0" eb="1">
      <t>ナオ</t>
    </rPh>
    <rPh sb="4" eb="5">
      <t>ダン</t>
    </rPh>
    <rPh sb="5" eb="6">
      <t>ヨウ</t>
    </rPh>
    <rPh sb="6" eb="8">
      <t>ダンメン</t>
    </rPh>
    <rPh sb="13" eb="15">
      <t>ダンメン</t>
    </rPh>
    <rPh sb="18" eb="20">
      <t>イジョウ</t>
    </rPh>
    <rPh sb="21" eb="22">
      <t>ザイ</t>
    </rPh>
    <rPh sb="23" eb="25">
      <t>シヨウ</t>
    </rPh>
    <rPh sb="27" eb="29">
      <t>バアイ</t>
    </rPh>
    <rPh sb="30" eb="31">
      <t>キ</t>
    </rPh>
    <rPh sb="31" eb="32">
      <t>クチ</t>
    </rPh>
    <rPh sb="32" eb="34">
      <t>メンセキ</t>
    </rPh>
    <rPh sb="35" eb="37">
      <t>ケントウ</t>
    </rPh>
    <phoneticPr fontId="3"/>
  </si>
  <si>
    <t>する場合に使用</t>
    <rPh sb="2" eb="4">
      <t>バアイ</t>
    </rPh>
    <rPh sb="5" eb="7">
      <t>シヨウ</t>
    </rPh>
    <phoneticPr fontId="3"/>
  </si>
  <si>
    <t xml:space="preserve">      ｽﾊﾟﾝL</t>
    <phoneticPr fontId="3"/>
  </si>
  <si>
    <t>間隔他方</t>
    <rPh sb="0" eb="2">
      <t>カンカク</t>
    </rPh>
    <rPh sb="2" eb="4">
      <t>タホウ</t>
    </rPh>
    <phoneticPr fontId="3"/>
  </si>
  <si>
    <t>間隔一方</t>
    <rPh sb="0" eb="2">
      <t>カンカク</t>
    </rPh>
    <rPh sb="2" eb="4">
      <t>イッポウ</t>
    </rPh>
    <phoneticPr fontId="3"/>
  </si>
  <si>
    <t>OK!</t>
  </si>
  <si>
    <t>C欠は材の中間部の欠き込み(欠損)率</t>
    <rPh sb="1" eb="2">
      <t>ケツ</t>
    </rPh>
    <rPh sb="3" eb="4">
      <t>ザイ</t>
    </rPh>
    <rPh sb="5" eb="7">
      <t>チュウカン</t>
    </rPh>
    <rPh sb="7" eb="8">
      <t>ブ</t>
    </rPh>
    <rPh sb="9" eb="10">
      <t>カ</t>
    </rPh>
    <rPh sb="11" eb="12">
      <t>コ</t>
    </rPh>
    <rPh sb="14" eb="16">
      <t>ケッソン</t>
    </rPh>
    <rPh sb="17" eb="18">
      <t>リツ</t>
    </rPh>
    <phoneticPr fontId="3"/>
  </si>
  <si>
    <t>片側は0.9,両側は0.8</t>
    <rPh sb="0" eb="1">
      <t>カタ</t>
    </rPh>
    <rPh sb="1" eb="2">
      <t>ソク</t>
    </rPh>
    <rPh sb="7" eb="8">
      <t>リョウ</t>
    </rPh>
    <rPh sb="8" eb="9">
      <t>ソク</t>
    </rPh>
    <phoneticPr fontId="3"/>
  </si>
  <si>
    <t xml:space="preserve">   b</t>
    <phoneticPr fontId="3"/>
  </si>
  <si>
    <t>lcm(1)</t>
    <phoneticPr fontId="3"/>
  </si>
  <si>
    <t>wcm(1)</t>
    <phoneticPr fontId="3"/>
  </si>
  <si>
    <t>lcm(2)</t>
    <phoneticPr fontId="3"/>
  </si>
  <si>
    <t>wcm(2)</t>
    <phoneticPr fontId="3"/>
  </si>
  <si>
    <t>めり込みの「lcm」,「wcm」を書き入れで必要最小面積及び幅がきまる。</t>
    <rPh sb="2" eb="3">
      <t>コ</t>
    </rPh>
    <rPh sb="17" eb="18">
      <t>カ</t>
    </rPh>
    <rPh sb="19" eb="20">
      <t>イ</t>
    </rPh>
    <rPh sb="22" eb="24">
      <t>ヒツヨウ</t>
    </rPh>
    <rPh sb="24" eb="26">
      <t>サイショウ</t>
    </rPh>
    <rPh sb="26" eb="28">
      <t>メンセキ</t>
    </rPh>
    <rPh sb="28" eb="29">
      <t>オヨ</t>
    </rPh>
    <rPh sb="30" eb="31">
      <t>ハバ</t>
    </rPh>
    <phoneticPr fontId="3"/>
  </si>
  <si>
    <t>判定がOK!になる様寸法を決める</t>
    <rPh sb="0" eb="2">
      <t>ハンテイ</t>
    </rPh>
    <rPh sb="9" eb="10">
      <t>サマ</t>
    </rPh>
    <rPh sb="10" eb="12">
      <t>スンポウ</t>
    </rPh>
    <rPh sb="13" eb="14">
      <t>キ</t>
    </rPh>
    <phoneticPr fontId="3"/>
  </si>
  <si>
    <t>小屋登り梁のｽﾊﾟﾝは水平距離を書き入れる。</t>
    <rPh sb="0" eb="2">
      <t>コヤ</t>
    </rPh>
    <rPh sb="2" eb="3">
      <t>ノボ</t>
    </rPh>
    <rPh sb="4" eb="5">
      <t>ハリ</t>
    </rPh>
    <rPh sb="11" eb="13">
      <t>スイヘイ</t>
    </rPh>
    <rPh sb="13" eb="15">
      <t>キョリ</t>
    </rPh>
    <rPh sb="16" eb="17">
      <t>カ</t>
    </rPh>
    <rPh sb="18" eb="19">
      <t>イ</t>
    </rPh>
    <phoneticPr fontId="3"/>
  </si>
  <si>
    <t>床梁、胴差の中間の柱が「有」の時、屋根ﾋﾟｯﾁ､ｽﾊﾟﾝを書き入れる。</t>
    <rPh sb="0" eb="1">
      <t>ユカ</t>
    </rPh>
    <rPh sb="1" eb="2">
      <t>ハリ</t>
    </rPh>
    <rPh sb="3" eb="4">
      <t>ドウ</t>
    </rPh>
    <rPh sb="4" eb="5">
      <t>サ</t>
    </rPh>
    <rPh sb="6" eb="8">
      <t>チュウカン</t>
    </rPh>
    <rPh sb="9" eb="10">
      <t>ハシラ</t>
    </rPh>
    <rPh sb="12" eb="13">
      <t>ア</t>
    </rPh>
    <rPh sb="15" eb="16">
      <t>トキ</t>
    </rPh>
    <rPh sb="17" eb="18">
      <t>ヤ</t>
    </rPh>
    <rPh sb="18" eb="19">
      <t>ネ</t>
    </rPh>
    <rPh sb="29" eb="30">
      <t>カ</t>
    </rPh>
    <rPh sb="31" eb="32">
      <t>イ</t>
    </rPh>
    <phoneticPr fontId="3"/>
  </si>
  <si>
    <t>柱位置も同様、</t>
    <rPh sb="0" eb="1">
      <t>ハシラ</t>
    </rPh>
    <rPh sb="1" eb="3">
      <t>イチ</t>
    </rPh>
    <rPh sb="4" eb="6">
      <t>ドウヨウ</t>
    </rPh>
    <phoneticPr fontId="3"/>
  </si>
  <si>
    <t>壁がある場合、壁の種類、高さを書き入れる。壁は準備で単位荷重</t>
    <rPh sb="0" eb="1">
      <t>カベ</t>
    </rPh>
    <rPh sb="4" eb="6">
      <t>バアイ</t>
    </rPh>
    <rPh sb="7" eb="8">
      <t>カベ</t>
    </rPh>
    <rPh sb="9" eb="11">
      <t>シュルイ</t>
    </rPh>
    <rPh sb="12" eb="13">
      <t>タカ</t>
    </rPh>
    <rPh sb="15" eb="16">
      <t>カ</t>
    </rPh>
    <rPh sb="17" eb="18">
      <t>イ</t>
    </rPh>
    <rPh sb="21" eb="22">
      <t>カベ</t>
    </rPh>
    <rPh sb="23" eb="25">
      <t>ジュンビ</t>
    </rPh>
    <rPh sb="26" eb="28">
      <t>タンイ</t>
    </rPh>
    <rPh sb="28" eb="30">
      <t>カジュウ</t>
    </rPh>
    <phoneticPr fontId="3"/>
  </si>
  <si>
    <t>を決定し、壁の種類を決定する。</t>
    <rPh sb="1" eb="3">
      <t>ケッテイ</t>
    </rPh>
    <rPh sb="5" eb="6">
      <t>カベ</t>
    </rPh>
    <rPh sb="7" eb="9">
      <t>シュルイ</t>
    </rPh>
    <rPh sb="10" eb="12">
      <t>ケッテイ</t>
    </rPh>
    <phoneticPr fontId="3"/>
  </si>
  <si>
    <t>面積(1)</t>
    <rPh sb="0" eb="2">
      <t>メンセキ</t>
    </rPh>
    <phoneticPr fontId="3"/>
  </si>
  <si>
    <t>面積(2)</t>
    <rPh sb="0" eb="2">
      <t>メンセキ</t>
    </rPh>
    <phoneticPr fontId="3"/>
  </si>
  <si>
    <t>σcv/fcvが1.0までOK!</t>
    <phoneticPr fontId="3"/>
  </si>
  <si>
    <t>1/</t>
    <phoneticPr fontId="3"/>
  </si>
  <si>
    <t>積雪用地域</t>
    <rPh sb="0" eb="2">
      <t>セキセツ</t>
    </rPh>
    <rPh sb="2" eb="3">
      <t>ヨウ</t>
    </rPh>
    <rPh sb="3" eb="4">
      <t>チ</t>
    </rPh>
    <rPh sb="4" eb="5">
      <t>イキ</t>
    </rPh>
    <phoneticPr fontId="3"/>
  </si>
  <si>
    <t>金属板張　　          200</t>
    <rPh sb="0" eb="2">
      <t>キンゾク</t>
    </rPh>
    <rPh sb="3" eb="4">
      <t>ハリ</t>
    </rPh>
    <phoneticPr fontId="3"/>
  </si>
  <si>
    <t>※</t>
    <phoneticPr fontId="3"/>
  </si>
  <si>
    <t>梁、桁等を受ける桁材等の寸法(H)は梁等の仕口断面寸法(H)より大きく</t>
    <rPh sb="0" eb="1">
      <t>ハリ</t>
    </rPh>
    <rPh sb="2" eb="3">
      <t>ケタ</t>
    </rPh>
    <rPh sb="3" eb="4">
      <t>トウ</t>
    </rPh>
    <rPh sb="5" eb="6">
      <t>ウ</t>
    </rPh>
    <rPh sb="8" eb="9">
      <t>ケタ</t>
    </rPh>
    <rPh sb="9" eb="10">
      <t>ザイ</t>
    </rPh>
    <rPh sb="10" eb="11">
      <t>トウ</t>
    </rPh>
    <rPh sb="12" eb="14">
      <t>スンポウ</t>
    </rPh>
    <rPh sb="18" eb="19">
      <t>ハリ</t>
    </rPh>
    <rPh sb="19" eb="20">
      <t>トウ</t>
    </rPh>
    <rPh sb="21" eb="22">
      <t>シ</t>
    </rPh>
    <rPh sb="22" eb="23">
      <t>クチ</t>
    </rPh>
    <rPh sb="23" eb="25">
      <t>ダンメン</t>
    </rPh>
    <rPh sb="25" eb="27">
      <t>スンポウ</t>
    </rPh>
    <rPh sb="32" eb="33">
      <t>ダイ</t>
    </rPh>
    <phoneticPr fontId="3"/>
  </si>
  <si>
    <t>するか、受ける材の計算寸法との大きい方とすること</t>
    <rPh sb="4" eb="5">
      <t>ウ</t>
    </rPh>
    <rPh sb="7" eb="8">
      <t>ザイ</t>
    </rPh>
    <rPh sb="9" eb="11">
      <t>ケイサン</t>
    </rPh>
    <rPh sb="11" eb="13">
      <t>スンポウ</t>
    </rPh>
    <rPh sb="15" eb="16">
      <t>オオ</t>
    </rPh>
    <rPh sb="18" eb="19">
      <t>ホウ</t>
    </rPh>
    <phoneticPr fontId="3"/>
  </si>
  <si>
    <t>胴差し等で中間に柱がある場合、その柱の上部の材の支持条件により</t>
    <rPh sb="0" eb="1">
      <t>ドウ</t>
    </rPh>
    <rPh sb="1" eb="2">
      <t>サ</t>
    </rPh>
    <rPh sb="3" eb="4">
      <t>トウ</t>
    </rPh>
    <rPh sb="5" eb="7">
      <t>チュウカン</t>
    </rPh>
    <rPh sb="8" eb="9">
      <t>ハシラ</t>
    </rPh>
    <rPh sb="12" eb="14">
      <t>バアイ</t>
    </rPh>
    <rPh sb="17" eb="18">
      <t>ハシラ</t>
    </rPh>
    <rPh sb="19" eb="21">
      <t>ジョウブ</t>
    </rPh>
    <rPh sb="22" eb="23">
      <t>ザイ</t>
    </rPh>
    <rPh sb="24" eb="26">
      <t>シジ</t>
    </rPh>
    <rPh sb="26" eb="28">
      <t>ジョウケン</t>
    </rPh>
    <phoneticPr fontId="3"/>
  </si>
  <si>
    <t>柱なしと判断する(その柱に上部荷重が加わる場合は柱有りとする)</t>
    <rPh sb="0" eb="1">
      <t>ハシラ</t>
    </rPh>
    <rPh sb="4" eb="6">
      <t>ハンダン</t>
    </rPh>
    <rPh sb="11" eb="12">
      <t>ハシラ</t>
    </rPh>
    <rPh sb="13" eb="15">
      <t>ジョウブ</t>
    </rPh>
    <rPh sb="15" eb="17">
      <t>カジュウ</t>
    </rPh>
    <rPh sb="18" eb="19">
      <t>クワ</t>
    </rPh>
    <rPh sb="21" eb="23">
      <t>バアイ</t>
    </rPh>
    <rPh sb="24" eb="25">
      <t>ハシラ</t>
    </rPh>
    <rPh sb="25" eb="26">
      <t>ア</t>
    </rPh>
    <phoneticPr fontId="3"/>
  </si>
  <si>
    <t>丸太</t>
    <rPh sb="0" eb="2">
      <t>マルタ</t>
    </rPh>
    <phoneticPr fontId="3"/>
  </si>
  <si>
    <t>Z</t>
    <phoneticPr fontId="3"/>
  </si>
  <si>
    <t>I</t>
    <phoneticPr fontId="3"/>
  </si>
  <si>
    <t>幅</t>
    <rPh sb="0" eb="1">
      <t>ハバ</t>
    </rPh>
    <phoneticPr fontId="3"/>
  </si>
  <si>
    <t>高さ</t>
    <rPh sb="0" eb="1">
      <t>タカ</t>
    </rPh>
    <phoneticPr fontId="3"/>
  </si>
  <si>
    <t>材断面(mm)</t>
    <rPh sb="0" eb="1">
      <t>ザイ</t>
    </rPh>
    <rPh sb="1" eb="3">
      <t>ダンメン</t>
    </rPh>
    <phoneticPr fontId="3"/>
  </si>
  <si>
    <t>高さmm</t>
    <rPh sb="0" eb="1">
      <t>タカ</t>
    </rPh>
    <phoneticPr fontId="3"/>
  </si>
  <si>
    <t>幅cm</t>
    <rPh sb="0" eb="1">
      <t>ハバ</t>
    </rPh>
    <phoneticPr fontId="3"/>
  </si>
  <si>
    <t>高さcm</t>
    <rPh sb="0" eb="1">
      <t>タカ</t>
    </rPh>
    <phoneticPr fontId="3"/>
  </si>
  <si>
    <t xml:space="preserve">                       1</t>
  </si>
  <si>
    <t>丸太材は末口で両側(片側3cm)6cmのｶｯﾄ(太鼓型)として算定している。</t>
    <rPh sb="0" eb="2">
      <t>マルタ</t>
    </rPh>
    <rPh sb="2" eb="3">
      <t>ザイ</t>
    </rPh>
    <rPh sb="4" eb="5">
      <t>スエ</t>
    </rPh>
    <rPh sb="5" eb="6">
      <t>クチ</t>
    </rPh>
    <rPh sb="7" eb="8">
      <t>リョウ</t>
    </rPh>
    <rPh sb="8" eb="9">
      <t>ソク</t>
    </rPh>
    <rPh sb="10" eb="11">
      <t>カタ</t>
    </rPh>
    <rPh sb="11" eb="12">
      <t>ソク</t>
    </rPh>
    <rPh sb="24" eb="26">
      <t>タイコ</t>
    </rPh>
    <rPh sb="26" eb="27">
      <t>カタ</t>
    </rPh>
    <rPh sb="31" eb="33">
      <t>サンテイ</t>
    </rPh>
    <phoneticPr fontId="3"/>
  </si>
  <si>
    <t>(径が180mmを超えるもの)</t>
    <rPh sb="1" eb="2">
      <t>ケイ</t>
    </rPh>
    <rPh sb="9" eb="10">
      <t>コ</t>
    </rPh>
    <phoneticPr fontId="3"/>
  </si>
  <si>
    <t>b</t>
    <phoneticPr fontId="3"/>
  </si>
  <si>
    <t>下見板ｻｲﾃﾞｨﾝｸﾞ        100</t>
  </si>
  <si>
    <t>真壁                  850</t>
  </si>
  <si>
    <t>甲種構造材、一級</t>
    <rPh sb="0" eb="2">
      <t>コウシュ</t>
    </rPh>
    <rPh sb="2" eb="4">
      <t>コウゾウ</t>
    </rPh>
    <rPh sb="4" eb="5">
      <t>ザイ</t>
    </rPh>
    <rPh sb="6" eb="8">
      <t>イッキュウ</t>
    </rPh>
    <phoneticPr fontId="3"/>
  </si>
  <si>
    <t>甲種構造材、二級</t>
    <rPh sb="0" eb="2">
      <t>コウシュ</t>
    </rPh>
    <rPh sb="2" eb="4">
      <t>コウゾウ</t>
    </rPh>
    <rPh sb="4" eb="5">
      <t>ザイ</t>
    </rPh>
    <rPh sb="6" eb="7">
      <t>ニ</t>
    </rPh>
    <rPh sb="7" eb="8">
      <t>キュウ</t>
    </rPh>
    <phoneticPr fontId="3"/>
  </si>
  <si>
    <t xml:space="preserve">甲種構造材、三級 </t>
    <rPh sb="0" eb="2">
      <t>コウシュ</t>
    </rPh>
    <rPh sb="2" eb="4">
      <t>コウゾウ</t>
    </rPh>
    <rPh sb="4" eb="5">
      <t>ザイ</t>
    </rPh>
    <rPh sb="6" eb="7">
      <t>サン</t>
    </rPh>
    <rPh sb="7" eb="8">
      <t>キュウ</t>
    </rPh>
    <phoneticPr fontId="3"/>
  </si>
  <si>
    <t xml:space="preserve">乙種構造材、一級 </t>
    <rPh sb="0" eb="1">
      <t>オツ</t>
    </rPh>
    <rPh sb="1" eb="2">
      <t>タネ</t>
    </rPh>
    <rPh sb="2" eb="4">
      <t>コウゾウ</t>
    </rPh>
    <rPh sb="4" eb="5">
      <t>ザイ</t>
    </rPh>
    <rPh sb="6" eb="8">
      <t>イッキュウ</t>
    </rPh>
    <phoneticPr fontId="3"/>
  </si>
  <si>
    <t xml:space="preserve">乙種構造材、二級 </t>
    <rPh sb="0" eb="1">
      <t>オツ</t>
    </rPh>
    <rPh sb="1" eb="2">
      <t>タネ</t>
    </rPh>
    <rPh sb="2" eb="4">
      <t>コウゾウ</t>
    </rPh>
    <rPh sb="4" eb="5">
      <t>ザイ</t>
    </rPh>
    <rPh sb="6" eb="7">
      <t>ニ</t>
    </rPh>
    <rPh sb="7" eb="8">
      <t>キュウ</t>
    </rPh>
    <phoneticPr fontId="3"/>
  </si>
  <si>
    <t>乙種構造材、三級</t>
    <rPh sb="0" eb="1">
      <t>オツ</t>
    </rPh>
    <rPh sb="1" eb="2">
      <t>タネ</t>
    </rPh>
    <rPh sb="2" eb="4">
      <t>コウゾウ</t>
    </rPh>
    <rPh sb="4" eb="5">
      <t>ザイ</t>
    </rPh>
    <rPh sb="6" eb="7">
      <t>サン</t>
    </rPh>
    <rPh sb="7" eb="8">
      <t>キュウ</t>
    </rPh>
    <phoneticPr fontId="3"/>
  </si>
  <si>
    <t xml:space="preserve">区分なし、等級無 </t>
    <rPh sb="0" eb="2">
      <t>クブン</t>
    </rPh>
    <rPh sb="5" eb="7">
      <t>トウキュウ</t>
    </rPh>
    <rPh sb="7" eb="8">
      <t>ム</t>
    </rPh>
    <phoneticPr fontId="3"/>
  </si>
  <si>
    <t xml:space="preserve">区分なし、E50 </t>
    <rPh sb="0" eb="2">
      <t>クブン</t>
    </rPh>
    <phoneticPr fontId="3"/>
  </si>
  <si>
    <t xml:space="preserve">区分なし、E70  </t>
    <rPh sb="0" eb="2">
      <t>クブン</t>
    </rPh>
    <phoneticPr fontId="3"/>
  </si>
  <si>
    <t>区分なし、E90</t>
    <rPh sb="0" eb="2">
      <t>クブン</t>
    </rPh>
    <phoneticPr fontId="3"/>
  </si>
  <si>
    <t xml:space="preserve">区分なし、E110  </t>
    <rPh sb="0" eb="2">
      <t>クブン</t>
    </rPh>
    <phoneticPr fontId="3"/>
  </si>
  <si>
    <t xml:space="preserve">区分なし、E130 </t>
    <rPh sb="0" eb="2">
      <t>クブン</t>
    </rPh>
    <phoneticPr fontId="3"/>
  </si>
  <si>
    <t xml:space="preserve">区分なし、E150 </t>
    <rPh sb="0" eb="2">
      <t>クブン</t>
    </rPh>
    <phoneticPr fontId="3"/>
  </si>
  <si>
    <t>平成12年度告示1452号に基づく木材基準強度の区分及び等級</t>
    <rPh sb="0" eb="2">
      <t>ヘイセイ</t>
    </rPh>
    <rPh sb="4" eb="6">
      <t>ネンド</t>
    </rPh>
    <rPh sb="6" eb="8">
      <t>コクジ</t>
    </rPh>
    <rPh sb="12" eb="13">
      <t>ゴウ</t>
    </rPh>
    <rPh sb="14" eb="15">
      <t>モト</t>
    </rPh>
    <rPh sb="17" eb="19">
      <t>モクザイ</t>
    </rPh>
    <rPh sb="19" eb="21">
      <t>キジュン</t>
    </rPh>
    <rPh sb="21" eb="23">
      <t>キョウド</t>
    </rPh>
    <rPh sb="24" eb="26">
      <t>クブン</t>
    </rPh>
    <rPh sb="26" eb="27">
      <t>オヨ</t>
    </rPh>
    <rPh sb="28" eb="30">
      <t>トウキュウ</t>
    </rPh>
    <phoneticPr fontId="3"/>
  </si>
  <si>
    <t>通り</t>
    <rPh sb="0" eb="1">
      <t>トオ</t>
    </rPh>
    <phoneticPr fontId="3"/>
  </si>
  <si>
    <t>小屋梁</t>
    <rPh sb="0" eb="2">
      <t>コヤ</t>
    </rPh>
    <rPh sb="2" eb="3">
      <t>ハリ</t>
    </rPh>
    <phoneticPr fontId="3"/>
  </si>
  <si>
    <t>No</t>
    <phoneticPr fontId="3"/>
  </si>
  <si>
    <t xml:space="preserve"> A                                    6</t>
    <phoneticPr fontId="3"/>
  </si>
  <si>
    <t xml:space="preserve"> B                                    6</t>
    <phoneticPr fontId="3"/>
  </si>
  <si>
    <t xml:space="preserve"> C                                    6</t>
    <phoneticPr fontId="3"/>
  </si>
  <si>
    <t xml:space="preserve"> D                                    6</t>
    <phoneticPr fontId="3"/>
  </si>
  <si>
    <t xml:space="preserve"> E                                    6</t>
    <phoneticPr fontId="3"/>
  </si>
  <si>
    <t xml:space="preserve"> F                                    6</t>
    <phoneticPr fontId="3"/>
  </si>
  <si>
    <t>小屋登梁</t>
    <rPh sb="0" eb="2">
      <t>コヤ</t>
    </rPh>
    <rPh sb="2" eb="3">
      <t>ノボ</t>
    </rPh>
    <rPh sb="3" eb="4">
      <t>ハリ</t>
    </rPh>
    <phoneticPr fontId="3"/>
  </si>
  <si>
    <t xml:space="preserve"> A                                    8</t>
    <phoneticPr fontId="3"/>
  </si>
  <si>
    <t xml:space="preserve"> B                                   8</t>
    <phoneticPr fontId="3"/>
  </si>
  <si>
    <t xml:space="preserve"> C                                    8</t>
    <phoneticPr fontId="3"/>
  </si>
  <si>
    <t xml:space="preserve"> D                                    8</t>
    <phoneticPr fontId="3"/>
  </si>
  <si>
    <t xml:space="preserve"> E                                    8</t>
    <phoneticPr fontId="3"/>
  </si>
  <si>
    <t>軒桁</t>
    <rPh sb="0" eb="1">
      <t>ノキ</t>
    </rPh>
    <rPh sb="1" eb="2">
      <t>ケタ</t>
    </rPh>
    <phoneticPr fontId="3"/>
  </si>
  <si>
    <t>母屋</t>
    <rPh sb="0" eb="2">
      <t>モヤ</t>
    </rPh>
    <phoneticPr fontId="3"/>
  </si>
  <si>
    <t>棟木</t>
    <rPh sb="0" eb="1">
      <t>ムネ</t>
    </rPh>
    <rPh sb="1" eb="2">
      <t>キ</t>
    </rPh>
    <phoneticPr fontId="3"/>
  </si>
  <si>
    <t>根太</t>
    <rPh sb="0" eb="2">
      <t>ネダ</t>
    </rPh>
    <phoneticPr fontId="3"/>
  </si>
  <si>
    <t>根太ﾊﾞﾙｺﾆｰ等</t>
    <rPh sb="0" eb="2">
      <t>ネダ</t>
    </rPh>
    <rPh sb="8" eb="9">
      <t>トウ</t>
    </rPh>
    <phoneticPr fontId="3"/>
  </si>
  <si>
    <t xml:space="preserve"> A                                 3</t>
    <phoneticPr fontId="3"/>
  </si>
  <si>
    <t xml:space="preserve"> A                                 4</t>
    <phoneticPr fontId="3"/>
  </si>
  <si>
    <t xml:space="preserve"> A                                 1</t>
    <phoneticPr fontId="3"/>
  </si>
  <si>
    <t>垂木</t>
    <rPh sb="0" eb="2">
      <t>タルキ</t>
    </rPh>
    <phoneticPr fontId="3"/>
  </si>
  <si>
    <t xml:space="preserve"> A                                 2</t>
    <phoneticPr fontId="3"/>
  </si>
  <si>
    <t xml:space="preserve"> B                                 2</t>
    <phoneticPr fontId="3"/>
  </si>
  <si>
    <t xml:space="preserve"> C                                 2</t>
    <phoneticPr fontId="3"/>
  </si>
  <si>
    <t xml:space="preserve"> D                                 2</t>
    <phoneticPr fontId="3"/>
  </si>
  <si>
    <t>跳出梁</t>
    <rPh sb="0" eb="1">
      <t>ハ</t>
    </rPh>
    <rPh sb="1" eb="2">
      <t>デ</t>
    </rPh>
    <rPh sb="2" eb="3">
      <t>ハリ</t>
    </rPh>
    <phoneticPr fontId="3"/>
  </si>
  <si>
    <t xml:space="preserve"> A</t>
    <phoneticPr fontId="3"/>
  </si>
  <si>
    <t xml:space="preserve"> B                                 3</t>
    <phoneticPr fontId="3"/>
  </si>
  <si>
    <t xml:space="preserve"> C                                 3</t>
    <phoneticPr fontId="3"/>
  </si>
  <si>
    <t xml:space="preserve"> B                                 4</t>
    <phoneticPr fontId="3"/>
  </si>
  <si>
    <t xml:space="preserve"> C                                 4</t>
    <phoneticPr fontId="3"/>
  </si>
  <si>
    <t xml:space="preserve"> B                                 1</t>
    <phoneticPr fontId="3"/>
  </si>
  <si>
    <t xml:space="preserve"> C                                 1</t>
    <phoneticPr fontId="3"/>
  </si>
  <si>
    <t xml:space="preserve"> D                                 1</t>
    <phoneticPr fontId="3"/>
  </si>
  <si>
    <t>めり込み用端部仕口(仕口等の見上面積)</t>
    <rPh sb="2" eb="3">
      <t>コ</t>
    </rPh>
    <rPh sb="4" eb="5">
      <t>ヨウ</t>
    </rPh>
    <rPh sb="5" eb="6">
      <t>ハシ</t>
    </rPh>
    <rPh sb="6" eb="7">
      <t>ブ</t>
    </rPh>
    <rPh sb="7" eb="8">
      <t>シ</t>
    </rPh>
    <rPh sb="8" eb="9">
      <t>クチ</t>
    </rPh>
    <rPh sb="10" eb="11">
      <t>シ</t>
    </rPh>
    <rPh sb="11" eb="12">
      <t>クチ</t>
    </rPh>
    <rPh sb="12" eb="13">
      <t>トウ</t>
    </rPh>
    <rPh sb="14" eb="15">
      <t>ミ</t>
    </rPh>
    <rPh sb="15" eb="16">
      <t>ウエ</t>
    </rPh>
    <rPh sb="16" eb="18">
      <t>メンセキ</t>
    </rPh>
    <phoneticPr fontId="3"/>
  </si>
  <si>
    <t>種別→</t>
    <rPh sb="0" eb="2">
      <t>シュベツ</t>
    </rPh>
    <phoneticPr fontId="3"/>
  </si>
  <si>
    <t>高さm→</t>
    <rPh sb="0" eb="1">
      <t>タカ</t>
    </rPh>
    <phoneticPr fontId="3"/>
  </si>
  <si>
    <t xml:space="preserve"> B</t>
    <phoneticPr fontId="3"/>
  </si>
  <si>
    <t xml:space="preserve"> C</t>
    <phoneticPr fontId="3"/>
  </si>
  <si>
    <t xml:space="preserve"> D</t>
    <phoneticPr fontId="3"/>
  </si>
  <si>
    <t xml:space="preserve"> E</t>
    <phoneticPr fontId="3"/>
  </si>
  <si>
    <t>×</t>
  </si>
  <si>
    <t>丸太末口 φ</t>
  </si>
  <si>
    <t/>
  </si>
  <si>
    <t>積雪用地域をﾎﾞﾀﾝで決定する(旧町名)</t>
    <rPh sb="0" eb="2">
      <t>セキセツ</t>
    </rPh>
    <rPh sb="2" eb="3">
      <t>ヨウ</t>
    </rPh>
    <rPh sb="3" eb="5">
      <t>チイキ</t>
    </rPh>
    <rPh sb="11" eb="13">
      <t>ケッテイ</t>
    </rPh>
    <rPh sb="16" eb="17">
      <t>キュウ</t>
    </rPh>
    <rPh sb="17" eb="19">
      <t>チョウメイ</t>
    </rPh>
    <phoneticPr fontId="3"/>
  </si>
  <si>
    <t>覚えのためで特に書き入れしなくてもよい</t>
    <rPh sb="0" eb="1">
      <t>オボ</t>
    </rPh>
    <rPh sb="6" eb="7">
      <t>トク</t>
    </rPh>
    <rPh sb="8" eb="9">
      <t>カ</t>
    </rPh>
    <rPh sb="10" eb="11">
      <t>イ</t>
    </rPh>
    <phoneticPr fontId="3"/>
  </si>
  <si>
    <t>隣の梁までの距離</t>
    <rPh sb="0" eb="1">
      <t>トナリ</t>
    </rPh>
    <rPh sb="2" eb="3">
      <t>ハリ</t>
    </rPh>
    <rPh sb="6" eb="8">
      <t>キョリ</t>
    </rPh>
    <phoneticPr fontId="3"/>
  </si>
  <si>
    <t>もう一方の梁までの距離</t>
    <rPh sb="2" eb="4">
      <t>イッポウ</t>
    </rPh>
    <rPh sb="5" eb="6">
      <t>ハリ</t>
    </rPh>
    <rPh sb="9" eb="11">
      <t>キョリ</t>
    </rPh>
    <phoneticPr fontId="3"/>
  </si>
  <si>
    <t>設計等で</t>
    <rPh sb="0" eb="2">
      <t>セッケイ</t>
    </rPh>
    <rPh sb="2" eb="3">
      <t>トウ</t>
    </rPh>
    <phoneticPr fontId="3"/>
  </si>
  <si>
    <t>上記高さ</t>
    <rPh sb="0" eb="1">
      <t>ウエ</t>
    </rPh>
    <rPh sb="2" eb="3">
      <t>タカ</t>
    </rPh>
    <phoneticPr fontId="3"/>
  </si>
  <si>
    <t>を変更す</t>
    <rPh sb="1" eb="3">
      <t>ヘンコウ</t>
    </rPh>
    <phoneticPr fontId="3"/>
  </si>
  <si>
    <t>る場合の</t>
    <rPh sb="1" eb="3">
      <t>バアイ</t>
    </rPh>
    <phoneticPr fontId="3"/>
  </si>
  <si>
    <t>断面高さ</t>
    <rPh sb="0" eb="2">
      <t>ダンメン</t>
    </rPh>
    <rPh sb="2" eb="3">
      <t>タカ</t>
    </rPh>
    <phoneticPr fontId="3"/>
  </si>
  <si>
    <t>を書込む</t>
    <rPh sb="1" eb="2">
      <t>カ</t>
    </rPh>
    <rPh sb="2" eb="3">
      <t>コ</t>
    </rPh>
    <phoneticPr fontId="3"/>
  </si>
  <si>
    <t>算定する材に欠き込みがある場合「ﾎﾞﾀﾝ」で決定</t>
    <rPh sb="0" eb="2">
      <t>サンテイ</t>
    </rPh>
    <rPh sb="4" eb="5">
      <t>ザイ</t>
    </rPh>
    <rPh sb="6" eb="7">
      <t>ケツ</t>
    </rPh>
    <rPh sb="8" eb="9">
      <t>コミ</t>
    </rPh>
    <rPh sb="13" eb="15">
      <t>バアイ</t>
    </rPh>
    <rPh sb="22" eb="24">
      <t>ケッテイ</t>
    </rPh>
    <phoneticPr fontId="3"/>
  </si>
  <si>
    <t>A</t>
    <phoneticPr fontId="4"/>
  </si>
  <si>
    <t>P</t>
    <phoneticPr fontId="4"/>
  </si>
  <si>
    <t>集中荷重</t>
    <rPh sb="0" eb="2">
      <t>シュウチュウ</t>
    </rPh>
    <rPh sb="2" eb="4">
      <t>カジュウ</t>
    </rPh>
    <phoneticPr fontId="4"/>
  </si>
  <si>
    <t>但しLa≦Lbとする</t>
    <rPh sb="0" eb="1">
      <t>タダ</t>
    </rPh>
    <phoneticPr fontId="4"/>
  </si>
  <si>
    <t>右W</t>
    <rPh sb="0" eb="1">
      <t>ミギ</t>
    </rPh>
    <phoneticPr fontId="4"/>
  </si>
  <si>
    <t>左L</t>
    <rPh sb="0" eb="1">
      <t>ヒダリ</t>
    </rPh>
    <phoneticPr fontId="4"/>
  </si>
  <si>
    <t>左W</t>
    <rPh sb="0" eb="1">
      <t>ヒダリ</t>
    </rPh>
    <phoneticPr fontId="4"/>
  </si>
  <si>
    <r>
      <t>L</t>
    </r>
    <r>
      <rPr>
        <sz val="12"/>
        <rFont val="ＭＳ 明朝"/>
        <family val="1"/>
        <charset val="128"/>
      </rPr>
      <t>a</t>
    </r>
    <phoneticPr fontId="4"/>
  </si>
  <si>
    <r>
      <t>L</t>
    </r>
    <r>
      <rPr>
        <sz val="12"/>
        <rFont val="ＭＳ 明朝"/>
        <family val="1"/>
        <charset val="128"/>
      </rPr>
      <t>b</t>
    </r>
    <phoneticPr fontId="4"/>
  </si>
  <si>
    <t>B</t>
    <phoneticPr fontId="4"/>
  </si>
  <si>
    <t>右L</t>
    <rPh sb="0" eb="1">
      <t>ミギ</t>
    </rPh>
    <phoneticPr fontId="4"/>
  </si>
  <si>
    <t>L</t>
    <phoneticPr fontId="4"/>
  </si>
  <si>
    <t>TL=</t>
    <phoneticPr fontId="4"/>
  </si>
  <si>
    <t>平均W</t>
    <rPh sb="0" eb="2">
      <t>ヘイキン</t>
    </rPh>
    <phoneticPr fontId="4"/>
  </si>
  <si>
    <t>平均L</t>
    <rPh sb="0" eb="2">
      <t>ヘイキン</t>
    </rPh>
    <phoneticPr fontId="4"/>
  </si>
  <si>
    <t>E=</t>
    <phoneticPr fontId="4"/>
  </si>
  <si>
    <t>I=</t>
    <phoneticPr fontId="4"/>
  </si>
  <si>
    <t>CY</t>
    <phoneticPr fontId="3"/>
  </si>
  <si>
    <t>EH</t>
    <phoneticPr fontId="3"/>
  </si>
  <si>
    <r>
      <t>E</t>
    </r>
    <r>
      <rPr>
        <sz val="12"/>
        <rFont val="ＭＳ 明朝"/>
        <family val="1"/>
        <charset val="128"/>
      </rPr>
      <t>I</t>
    </r>
    <phoneticPr fontId="3"/>
  </si>
  <si>
    <r>
      <t>E</t>
    </r>
    <r>
      <rPr>
        <sz val="12"/>
        <rFont val="ＭＳ 明朝"/>
        <family val="1"/>
        <charset val="128"/>
      </rPr>
      <t>J</t>
    </r>
    <phoneticPr fontId="3"/>
  </si>
  <si>
    <r>
      <t>E</t>
    </r>
    <r>
      <rPr>
        <sz val="12"/>
        <rFont val="ＭＳ 明朝"/>
        <family val="1"/>
        <charset val="128"/>
      </rPr>
      <t>K</t>
    </r>
    <phoneticPr fontId="3"/>
  </si>
  <si>
    <r>
      <t>E</t>
    </r>
    <r>
      <rPr>
        <sz val="12"/>
        <rFont val="ＭＳ 明朝"/>
        <family val="1"/>
        <charset val="128"/>
      </rPr>
      <t>L</t>
    </r>
    <phoneticPr fontId="3"/>
  </si>
  <si>
    <r>
      <t>E</t>
    </r>
    <r>
      <rPr>
        <sz val="12"/>
        <rFont val="ＭＳ 明朝"/>
        <family val="1"/>
        <charset val="128"/>
      </rPr>
      <t>M</t>
    </r>
    <phoneticPr fontId="3"/>
  </si>
  <si>
    <r>
      <t>E</t>
    </r>
    <r>
      <rPr>
        <sz val="12"/>
        <rFont val="ＭＳ 明朝"/>
        <family val="1"/>
        <charset val="128"/>
      </rPr>
      <t>N</t>
    </r>
    <phoneticPr fontId="3"/>
  </si>
  <si>
    <r>
      <t>E</t>
    </r>
    <r>
      <rPr>
        <sz val="12"/>
        <rFont val="ＭＳ 明朝"/>
        <family val="1"/>
        <charset val="128"/>
      </rPr>
      <t>O</t>
    </r>
    <phoneticPr fontId="3"/>
  </si>
  <si>
    <r>
      <t>E</t>
    </r>
    <r>
      <rPr>
        <sz val="12"/>
        <rFont val="ＭＳ 明朝"/>
        <family val="1"/>
        <charset val="128"/>
      </rPr>
      <t>P</t>
    </r>
    <phoneticPr fontId="3"/>
  </si>
  <si>
    <r>
      <t>E</t>
    </r>
    <r>
      <rPr>
        <sz val="12"/>
        <rFont val="ＭＳ 明朝"/>
        <family val="1"/>
        <charset val="128"/>
      </rPr>
      <t>Q</t>
    </r>
    <phoneticPr fontId="3"/>
  </si>
  <si>
    <r>
      <t>E</t>
    </r>
    <r>
      <rPr>
        <sz val="12"/>
        <rFont val="ＭＳ 明朝"/>
        <family val="1"/>
        <charset val="128"/>
      </rPr>
      <t>R</t>
    </r>
    <phoneticPr fontId="3"/>
  </si>
  <si>
    <r>
      <t>E</t>
    </r>
    <r>
      <rPr>
        <sz val="12"/>
        <rFont val="ＭＳ 明朝"/>
        <family val="1"/>
        <charset val="128"/>
      </rPr>
      <t>S</t>
    </r>
    <phoneticPr fontId="3"/>
  </si>
  <si>
    <r>
      <t>E</t>
    </r>
    <r>
      <rPr>
        <sz val="12"/>
        <rFont val="ＭＳ 明朝"/>
        <family val="1"/>
        <charset val="128"/>
      </rPr>
      <t>T</t>
    </r>
    <phoneticPr fontId="3"/>
  </si>
  <si>
    <r>
      <t>E</t>
    </r>
    <r>
      <rPr>
        <sz val="12"/>
        <rFont val="ＭＳ 明朝"/>
        <family val="1"/>
        <charset val="128"/>
      </rPr>
      <t>U</t>
    </r>
    <phoneticPr fontId="3"/>
  </si>
  <si>
    <r>
      <t>E</t>
    </r>
    <r>
      <rPr>
        <sz val="12"/>
        <rFont val="ＭＳ 明朝"/>
        <family val="1"/>
        <charset val="128"/>
      </rPr>
      <t>V</t>
    </r>
    <phoneticPr fontId="3"/>
  </si>
  <si>
    <r>
      <t>E</t>
    </r>
    <r>
      <rPr>
        <sz val="12"/>
        <rFont val="ＭＳ 明朝"/>
        <family val="1"/>
        <charset val="128"/>
      </rPr>
      <t>W</t>
    </r>
    <phoneticPr fontId="3"/>
  </si>
  <si>
    <r>
      <t>E</t>
    </r>
    <r>
      <rPr>
        <sz val="12"/>
        <rFont val="ＭＳ 明朝"/>
        <family val="1"/>
        <charset val="128"/>
      </rPr>
      <t>X</t>
    </r>
    <phoneticPr fontId="3"/>
  </si>
  <si>
    <r>
      <t>E</t>
    </r>
    <r>
      <rPr>
        <sz val="12"/>
        <rFont val="ＭＳ 明朝"/>
        <family val="1"/>
        <charset val="128"/>
      </rPr>
      <t>Y</t>
    </r>
    <phoneticPr fontId="3"/>
  </si>
  <si>
    <t>EZ</t>
    <phoneticPr fontId="3"/>
  </si>
  <si>
    <t>FA</t>
    <phoneticPr fontId="3"/>
  </si>
  <si>
    <t>FB</t>
    <phoneticPr fontId="3"/>
  </si>
  <si>
    <t>FC</t>
    <phoneticPr fontId="3"/>
  </si>
  <si>
    <t>FD</t>
    <phoneticPr fontId="3"/>
  </si>
  <si>
    <t>FE</t>
    <phoneticPr fontId="3"/>
  </si>
  <si>
    <t>FF</t>
    <phoneticPr fontId="3"/>
  </si>
  <si>
    <t>Lσs</t>
    <phoneticPr fontId="4"/>
  </si>
  <si>
    <t>Sσs</t>
    <phoneticPr fontId="4"/>
  </si>
  <si>
    <t>Lσb</t>
    <phoneticPr fontId="4"/>
  </si>
  <si>
    <t>Sσb</t>
    <phoneticPr fontId="4"/>
  </si>
  <si>
    <t>E</t>
    <phoneticPr fontId="3"/>
  </si>
  <si>
    <t>δ'(1/)</t>
    <phoneticPr fontId="3"/>
  </si>
  <si>
    <t>δ'</t>
    <phoneticPr fontId="3"/>
  </si>
  <si>
    <t>δ/δ'</t>
    <phoneticPr fontId="4"/>
  </si>
  <si>
    <t>Z</t>
    <phoneticPr fontId="3"/>
  </si>
  <si>
    <t>I</t>
    <phoneticPr fontId="3"/>
  </si>
  <si>
    <t>EH</t>
    <phoneticPr fontId="3"/>
  </si>
  <si>
    <r>
      <t>E</t>
    </r>
    <r>
      <rPr>
        <sz val="12"/>
        <rFont val="ＭＳ 明朝"/>
        <family val="1"/>
        <charset val="128"/>
      </rPr>
      <t>I</t>
    </r>
    <phoneticPr fontId="3"/>
  </si>
  <si>
    <r>
      <t>E</t>
    </r>
    <r>
      <rPr>
        <sz val="12"/>
        <rFont val="ＭＳ 明朝"/>
        <family val="1"/>
        <charset val="128"/>
      </rPr>
      <t>J</t>
    </r>
    <phoneticPr fontId="3"/>
  </si>
  <si>
    <r>
      <t>E</t>
    </r>
    <r>
      <rPr>
        <sz val="12"/>
        <rFont val="ＭＳ 明朝"/>
        <family val="1"/>
        <charset val="128"/>
      </rPr>
      <t>K</t>
    </r>
    <phoneticPr fontId="3"/>
  </si>
  <si>
    <r>
      <t>E</t>
    </r>
    <r>
      <rPr>
        <sz val="12"/>
        <rFont val="ＭＳ 明朝"/>
        <family val="1"/>
        <charset val="128"/>
      </rPr>
      <t>L</t>
    </r>
    <phoneticPr fontId="3"/>
  </si>
  <si>
    <r>
      <t>E</t>
    </r>
    <r>
      <rPr>
        <sz val="12"/>
        <rFont val="ＭＳ 明朝"/>
        <family val="1"/>
        <charset val="128"/>
      </rPr>
      <t>M</t>
    </r>
    <phoneticPr fontId="3"/>
  </si>
  <si>
    <r>
      <t>E</t>
    </r>
    <r>
      <rPr>
        <sz val="12"/>
        <rFont val="ＭＳ 明朝"/>
        <family val="1"/>
        <charset val="128"/>
      </rPr>
      <t>N</t>
    </r>
    <phoneticPr fontId="3"/>
  </si>
  <si>
    <r>
      <t>E</t>
    </r>
    <r>
      <rPr>
        <sz val="12"/>
        <rFont val="ＭＳ 明朝"/>
        <family val="1"/>
        <charset val="128"/>
      </rPr>
      <t>O</t>
    </r>
    <phoneticPr fontId="3"/>
  </si>
  <si>
    <r>
      <t>E</t>
    </r>
    <r>
      <rPr>
        <sz val="12"/>
        <rFont val="ＭＳ 明朝"/>
        <family val="1"/>
        <charset val="128"/>
      </rPr>
      <t>P</t>
    </r>
    <phoneticPr fontId="3"/>
  </si>
  <si>
    <r>
      <t>E</t>
    </r>
    <r>
      <rPr>
        <sz val="12"/>
        <rFont val="ＭＳ 明朝"/>
        <family val="1"/>
        <charset val="128"/>
      </rPr>
      <t>Q</t>
    </r>
    <phoneticPr fontId="3"/>
  </si>
  <si>
    <r>
      <t>E</t>
    </r>
    <r>
      <rPr>
        <sz val="12"/>
        <rFont val="ＭＳ 明朝"/>
        <family val="1"/>
        <charset val="128"/>
      </rPr>
      <t>R</t>
    </r>
    <phoneticPr fontId="3"/>
  </si>
  <si>
    <r>
      <t>E</t>
    </r>
    <r>
      <rPr>
        <sz val="12"/>
        <rFont val="ＭＳ 明朝"/>
        <family val="1"/>
        <charset val="128"/>
      </rPr>
      <t>S</t>
    </r>
    <phoneticPr fontId="3"/>
  </si>
  <si>
    <r>
      <t>E</t>
    </r>
    <r>
      <rPr>
        <sz val="12"/>
        <rFont val="ＭＳ 明朝"/>
        <family val="1"/>
        <charset val="128"/>
      </rPr>
      <t>T</t>
    </r>
    <phoneticPr fontId="3"/>
  </si>
  <si>
    <r>
      <t>E</t>
    </r>
    <r>
      <rPr>
        <sz val="12"/>
        <rFont val="ＭＳ 明朝"/>
        <family val="1"/>
        <charset val="128"/>
      </rPr>
      <t>U</t>
    </r>
    <phoneticPr fontId="3"/>
  </si>
  <si>
    <r>
      <t>E</t>
    </r>
    <r>
      <rPr>
        <sz val="12"/>
        <rFont val="ＭＳ 明朝"/>
        <family val="1"/>
        <charset val="128"/>
      </rPr>
      <t>V</t>
    </r>
    <phoneticPr fontId="3"/>
  </si>
  <si>
    <r>
      <t>E</t>
    </r>
    <r>
      <rPr>
        <sz val="12"/>
        <rFont val="ＭＳ 明朝"/>
        <family val="1"/>
        <charset val="128"/>
      </rPr>
      <t>W</t>
    </r>
    <phoneticPr fontId="3"/>
  </si>
  <si>
    <r>
      <t>E</t>
    </r>
    <r>
      <rPr>
        <sz val="12"/>
        <rFont val="ＭＳ 明朝"/>
        <family val="1"/>
        <charset val="128"/>
      </rPr>
      <t>X</t>
    </r>
    <phoneticPr fontId="3"/>
  </si>
  <si>
    <r>
      <t>E</t>
    </r>
    <r>
      <rPr>
        <sz val="12"/>
        <rFont val="ＭＳ 明朝"/>
        <family val="1"/>
        <charset val="128"/>
      </rPr>
      <t>Y</t>
    </r>
    <phoneticPr fontId="3"/>
  </si>
  <si>
    <t>EZ</t>
    <phoneticPr fontId="3"/>
  </si>
  <si>
    <t>FA</t>
    <phoneticPr fontId="3"/>
  </si>
  <si>
    <t>FB</t>
    <phoneticPr fontId="3"/>
  </si>
  <si>
    <t>FC</t>
    <phoneticPr fontId="3"/>
  </si>
  <si>
    <t>FD</t>
    <phoneticPr fontId="3"/>
  </si>
  <si>
    <t>FE</t>
    <phoneticPr fontId="3"/>
  </si>
  <si>
    <t>FF</t>
    <phoneticPr fontId="3"/>
  </si>
  <si>
    <t>集中</t>
    <rPh sb="0" eb="2">
      <t>シュウチュウ</t>
    </rPh>
    <phoneticPr fontId="3"/>
  </si>
  <si>
    <t>登り梁</t>
    <rPh sb="0" eb="1">
      <t>ノボ</t>
    </rPh>
    <rPh sb="2" eb="3">
      <t>ハリ</t>
    </rPh>
    <phoneticPr fontId="3"/>
  </si>
  <si>
    <t>桟木</t>
    <rPh sb="0" eb="1">
      <t>サン</t>
    </rPh>
    <rPh sb="1" eb="2">
      <t>キ</t>
    </rPh>
    <phoneticPr fontId="3"/>
  </si>
  <si>
    <t>根太</t>
    <rPh sb="0" eb="1">
      <t>ネ</t>
    </rPh>
    <rPh sb="1" eb="2">
      <t>タ</t>
    </rPh>
    <phoneticPr fontId="3"/>
  </si>
  <si>
    <t>根太2</t>
    <rPh sb="0" eb="1">
      <t>ネ</t>
    </rPh>
    <rPh sb="1" eb="2">
      <t>タ</t>
    </rPh>
    <phoneticPr fontId="3"/>
  </si>
  <si>
    <r>
      <t xml:space="preserve"> </t>
    </r>
    <r>
      <rPr>
        <sz val="12"/>
        <rFont val="ＭＳ 明朝"/>
        <family val="1"/>
        <charset val="128"/>
      </rPr>
      <t>壁1</t>
    </r>
    <r>
      <rPr>
        <sz val="12"/>
        <rFont val="ＭＳ 明朝"/>
        <family val="1"/>
        <charset val="128"/>
      </rPr>
      <t xml:space="preserve">                                                  1</t>
    </r>
    <rPh sb="1" eb="2">
      <t>カベ</t>
    </rPh>
    <phoneticPr fontId="3"/>
  </si>
  <si>
    <r>
      <t xml:space="preserve"> </t>
    </r>
    <r>
      <rPr>
        <sz val="12"/>
        <rFont val="ＭＳ 明朝"/>
        <family val="1"/>
        <charset val="128"/>
      </rPr>
      <t>壁2</t>
    </r>
    <r>
      <rPr>
        <sz val="12"/>
        <rFont val="ＭＳ 明朝"/>
        <family val="1"/>
        <charset val="128"/>
      </rPr>
      <t xml:space="preserve">                                                 2</t>
    </r>
    <rPh sb="1" eb="2">
      <t>カベ</t>
    </rPh>
    <phoneticPr fontId="3"/>
  </si>
  <si>
    <r>
      <t xml:space="preserve"> </t>
    </r>
    <r>
      <rPr>
        <sz val="12"/>
        <rFont val="ＭＳ 明朝"/>
        <family val="1"/>
        <charset val="128"/>
      </rPr>
      <t>壁3</t>
    </r>
    <r>
      <rPr>
        <sz val="12"/>
        <rFont val="ＭＳ 明朝"/>
        <family val="1"/>
        <charset val="128"/>
      </rPr>
      <t xml:space="preserve">                                            3</t>
    </r>
    <rPh sb="1" eb="2">
      <t>カベ</t>
    </rPh>
    <phoneticPr fontId="3"/>
  </si>
  <si>
    <r>
      <t xml:space="preserve"> </t>
    </r>
    <r>
      <rPr>
        <sz val="12"/>
        <rFont val="ＭＳ 明朝"/>
        <family val="1"/>
        <charset val="128"/>
      </rPr>
      <t>壁4</t>
    </r>
    <r>
      <rPr>
        <sz val="12"/>
        <rFont val="ＭＳ 明朝"/>
        <family val="1"/>
        <charset val="128"/>
      </rPr>
      <t xml:space="preserve">                                           4</t>
    </r>
    <rPh sb="1" eb="2">
      <t>カベ</t>
    </rPh>
    <phoneticPr fontId="3"/>
  </si>
  <si>
    <r>
      <t xml:space="preserve"> </t>
    </r>
    <r>
      <rPr>
        <sz val="12"/>
        <rFont val="ＭＳ 明朝"/>
        <family val="1"/>
        <charset val="128"/>
      </rPr>
      <t>壁5</t>
    </r>
    <r>
      <rPr>
        <sz val="12"/>
        <rFont val="ＭＳ 明朝"/>
        <family val="1"/>
        <charset val="128"/>
      </rPr>
      <t xml:space="preserve">                                                 5</t>
    </r>
    <rPh sb="1" eb="2">
      <t>カベ</t>
    </rPh>
    <phoneticPr fontId="3"/>
  </si>
  <si>
    <t>瓦葺き　　　          650</t>
  </si>
  <si>
    <t xml:space="preserve"> D                                          6</t>
    <phoneticPr fontId="3"/>
  </si>
  <si>
    <t xml:space="preserve"> E                                                        6</t>
    <phoneticPr fontId="3"/>
  </si>
  <si>
    <t>一般床                                          1</t>
    <rPh sb="0" eb="2">
      <t>イッパン</t>
    </rPh>
    <rPh sb="2" eb="3">
      <t>ユカ</t>
    </rPh>
    <phoneticPr fontId="3"/>
  </si>
  <si>
    <t>ﾊﾞﾙｺﾆｰ                                          2</t>
    <phoneticPr fontId="3"/>
  </si>
  <si>
    <r>
      <t>G</t>
    </r>
    <r>
      <rPr>
        <sz val="12"/>
        <rFont val="ＭＳ 明朝"/>
        <family val="1"/>
        <charset val="128"/>
      </rPr>
      <t>=</t>
    </r>
    <phoneticPr fontId="3"/>
  </si>
  <si>
    <r>
      <t>N/m</t>
    </r>
    <r>
      <rPr>
        <vertAlign val="superscript"/>
        <sz val="10"/>
        <rFont val="ＭＳ 明朝"/>
        <family val="1"/>
        <charset val="128"/>
      </rPr>
      <t>3</t>
    </r>
    <phoneticPr fontId="3"/>
  </si>
  <si>
    <r>
      <t>kg/m</t>
    </r>
    <r>
      <rPr>
        <vertAlign val="superscript"/>
        <sz val="10"/>
        <rFont val="ＭＳ 明朝"/>
        <family val="1"/>
        <charset val="128"/>
      </rPr>
      <t>3</t>
    </r>
    <phoneticPr fontId="3"/>
  </si>
  <si>
    <t>2階梁桁　　　　　　　　　　　　　　　　　　　　2</t>
    <rPh sb="1" eb="2">
      <t>カイ</t>
    </rPh>
    <rPh sb="2" eb="3">
      <t>ハリ</t>
    </rPh>
    <rPh sb="3" eb="4">
      <t>ケタ</t>
    </rPh>
    <phoneticPr fontId="3"/>
  </si>
  <si>
    <t>左W</t>
    <rPh sb="0" eb="1">
      <t>ヒダリ</t>
    </rPh>
    <phoneticPr fontId="3"/>
  </si>
  <si>
    <t>右W</t>
    <rPh sb="0" eb="1">
      <t>ミギ</t>
    </rPh>
    <phoneticPr fontId="3"/>
  </si>
  <si>
    <t>間隔(m)</t>
    <rPh sb="0" eb="2">
      <t>カンカク</t>
    </rPh>
    <phoneticPr fontId="3"/>
  </si>
  <si>
    <t>左L</t>
    <rPh sb="0" eb="1">
      <t>ヒダリ</t>
    </rPh>
    <phoneticPr fontId="3"/>
  </si>
  <si>
    <t>右L</t>
    <rPh sb="0" eb="1">
      <t>ミギ</t>
    </rPh>
    <phoneticPr fontId="3"/>
  </si>
  <si>
    <t>ｽﾊﾟﾝ(m)</t>
    <phoneticPr fontId="3"/>
  </si>
  <si>
    <t>上部梁桁</t>
    <rPh sb="0" eb="1">
      <t>ウエ</t>
    </rPh>
    <rPh sb="1" eb="2">
      <t>ブ</t>
    </rPh>
    <rPh sb="2" eb="3">
      <t>ハリ</t>
    </rPh>
    <rPh sb="3" eb="4">
      <t>ケタ</t>
    </rPh>
    <phoneticPr fontId="3"/>
  </si>
  <si>
    <t>受梁桁</t>
    <rPh sb="0" eb="1">
      <t>ウ</t>
    </rPh>
    <rPh sb="1" eb="2">
      <t>ハリ</t>
    </rPh>
    <rPh sb="2" eb="3">
      <t>ケタ</t>
    </rPh>
    <phoneticPr fontId="3"/>
  </si>
  <si>
    <t>受梁桁(算定)</t>
    <rPh sb="0" eb="1">
      <t>ウ</t>
    </rPh>
    <rPh sb="1" eb="2">
      <t>ハリ</t>
    </rPh>
    <rPh sb="2" eb="3">
      <t>ケタ</t>
    </rPh>
    <rPh sb="4" eb="6">
      <t>サンテイ</t>
    </rPh>
    <phoneticPr fontId="3"/>
  </si>
  <si>
    <t>左Wa</t>
    <rPh sb="0" eb="1">
      <t>ヒダリ</t>
    </rPh>
    <phoneticPr fontId="3"/>
  </si>
  <si>
    <t>右Wb</t>
    <rPh sb="0" eb="1">
      <t>ミギ</t>
    </rPh>
    <phoneticPr fontId="3"/>
  </si>
  <si>
    <t>左Wa</t>
    <rPh sb="0" eb="1">
      <t>ヒダリ</t>
    </rPh>
    <phoneticPr fontId="4"/>
  </si>
  <si>
    <t>La</t>
    <phoneticPr fontId="4"/>
  </si>
  <si>
    <t>A</t>
    <phoneticPr fontId="3"/>
  </si>
  <si>
    <t>B</t>
    <phoneticPr fontId="3"/>
  </si>
  <si>
    <t>Lb</t>
    <phoneticPr fontId="4"/>
  </si>
  <si>
    <t>右Wb</t>
    <rPh sb="0" eb="1">
      <t>ミギ</t>
    </rPh>
    <phoneticPr fontId="4"/>
  </si>
  <si>
    <t>上部梁桁</t>
    <rPh sb="0" eb="2">
      <t>ジョウブ</t>
    </rPh>
    <rPh sb="2" eb="3">
      <t>ハリ</t>
    </rPh>
    <rPh sb="3" eb="4">
      <t>ケタ</t>
    </rPh>
    <phoneticPr fontId="3"/>
  </si>
  <si>
    <t>場所</t>
    <rPh sb="0" eb="2">
      <t>バショ</t>
    </rPh>
    <phoneticPr fontId="3"/>
  </si>
  <si>
    <t>La</t>
    <phoneticPr fontId="3"/>
  </si>
  <si>
    <t>Lb</t>
    <phoneticPr fontId="3"/>
  </si>
  <si>
    <t>L(m)</t>
    <phoneticPr fontId="3"/>
  </si>
  <si>
    <t>平均Wa</t>
    <rPh sb="0" eb="2">
      <t>ヘイキン</t>
    </rPh>
    <phoneticPr fontId="4"/>
  </si>
  <si>
    <t>h</t>
    <phoneticPr fontId="3"/>
  </si>
  <si>
    <t>b=</t>
    <phoneticPr fontId="3"/>
  </si>
  <si>
    <t>a=</t>
    <phoneticPr fontId="3"/>
  </si>
  <si>
    <r>
      <t>b</t>
    </r>
    <r>
      <rPr>
        <vertAlign val="superscript"/>
        <sz val="10"/>
        <rFont val="ＭＳ 明朝"/>
        <family val="1"/>
        <charset val="128"/>
      </rPr>
      <t>2</t>
    </r>
    <phoneticPr fontId="3"/>
  </si>
  <si>
    <r>
      <t>a</t>
    </r>
    <r>
      <rPr>
        <vertAlign val="superscript"/>
        <sz val="10"/>
        <rFont val="ＭＳ 明朝"/>
        <family val="1"/>
        <charset val="128"/>
      </rPr>
      <t>2</t>
    </r>
    <phoneticPr fontId="3"/>
  </si>
  <si>
    <r>
      <t>L</t>
    </r>
    <r>
      <rPr>
        <vertAlign val="superscript"/>
        <sz val="10"/>
        <rFont val="ＭＳ 明朝"/>
        <family val="1"/>
        <charset val="128"/>
      </rPr>
      <t>2</t>
    </r>
    <phoneticPr fontId="3"/>
  </si>
  <si>
    <r>
      <t>I=L</t>
    </r>
    <r>
      <rPr>
        <vertAlign val="superscript"/>
        <sz val="10"/>
        <rFont val="ＭＳ 明朝"/>
        <family val="1"/>
        <charset val="128"/>
      </rPr>
      <t>2</t>
    </r>
    <r>
      <rPr>
        <sz val="12"/>
        <rFont val="ＭＳ 明朝"/>
        <family val="1"/>
        <charset val="128"/>
      </rPr>
      <t>-a</t>
    </r>
    <r>
      <rPr>
        <vertAlign val="superscript"/>
        <sz val="10"/>
        <rFont val="ＭＳ 明朝"/>
        <family val="1"/>
        <charset val="128"/>
      </rPr>
      <t>2</t>
    </r>
    <phoneticPr fontId="3"/>
  </si>
  <si>
    <r>
      <t>√K</t>
    </r>
    <r>
      <rPr>
        <vertAlign val="superscript"/>
        <sz val="10"/>
        <rFont val="ＭＳ 明朝"/>
        <family val="1"/>
        <charset val="128"/>
      </rPr>
      <t>3</t>
    </r>
    <phoneticPr fontId="3"/>
  </si>
  <si>
    <r>
      <t>√I</t>
    </r>
    <r>
      <rPr>
        <vertAlign val="superscript"/>
        <sz val="10"/>
        <rFont val="ＭＳ 明朝"/>
        <family val="1"/>
        <charset val="128"/>
      </rPr>
      <t>3</t>
    </r>
    <phoneticPr fontId="3"/>
  </si>
  <si>
    <r>
      <rPr>
        <sz val="12"/>
        <rFont val="ＭＳ 明朝"/>
        <family val="1"/>
        <charset val="128"/>
      </rPr>
      <t>P</t>
    </r>
    <r>
      <rPr>
        <sz val="12"/>
        <rFont val="ＭＳ 明朝"/>
        <family val="1"/>
        <charset val="128"/>
      </rPr>
      <t>=</t>
    </r>
    <phoneticPr fontId="4"/>
  </si>
  <si>
    <t>M</t>
    <phoneticPr fontId="3"/>
  </si>
  <si>
    <t>SM</t>
    <phoneticPr fontId="3"/>
  </si>
  <si>
    <t>Lfb</t>
    <phoneticPr fontId="3"/>
  </si>
  <si>
    <t>MAX</t>
    <phoneticPr fontId="3"/>
  </si>
  <si>
    <r>
      <t>K=L</t>
    </r>
    <r>
      <rPr>
        <vertAlign val="superscript"/>
        <sz val="10"/>
        <rFont val="ＭＳ 明朝"/>
        <family val="1"/>
        <charset val="128"/>
      </rPr>
      <t>2</t>
    </r>
    <r>
      <rPr>
        <sz val="12"/>
        <rFont val="ＭＳ 明朝"/>
        <family val="1"/>
        <charset val="128"/>
      </rPr>
      <t>-b</t>
    </r>
    <r>
      <rPr>
        <vertAlign val="superscript"/>
        <sz val="10"/>
        <rFont val="ＭＳ 明朝"/>
        <family val="1"/>
        <charset val="128"/>
      </rPr>
      <t>2</t>
    </r>
    <phoneticPr fontId="3"/>
  </si>
  <si>
    <t>短</t>
    <rPh sb="0" eb="1">
      <t>タン</t>
    </rPh>
    <phoneticPr fontId="3"/>
  </si>
  <si>
    <t>2階床</t>
    <rPh sb="1" eb="2">
      <t>カイ</t>
    </rPh>
    <rPh sb="2" eb="3">
      <t>ユカ</t>
    </rPh>
    <phoneticPr fontId="3"/>
  </si>
  <si>
    <t>壁有無</t>
    <rPh sb="0" eb="1">
      <t>カベ</t>
    </rPh>
    <rPh sb="1" eb="3">
      <t>ウム</t>
    </rPh>
    <phoneticPr fontId="3"/>
  </si>
  <si>
    <t>壁種類</t>
    <rPh sb="0" eb="1">
      <t>カベ</t>
    </rPh>
    <rPh sb="1" eb="3">
      <t>シュルイ</t>
    </rPh>
    <phoneticPr fontId="3"/>
  </si>
  <si>
    <t>壁高(m)</t>
    <rPh sb="0" eb="1">
      <t>カベ</t>
    </rPh>
    <rPh sb="1" eb="2">
      <t>タカ</t>
    </rPh>
    <phoneticPr fontId="3"/>
  </si>
  <si>
    <t>壁1</t>
    <rPh sb="0" eb="1">
      <t>カベ</t>
    </rPh>
    <phoneticPr fontId="3"/>
  </si>
  <si>
    <t>手摺</t>
    <rPh sb="0" eb="2">
      <t>テスリ</t>
    </rPh>
    <phoneticPr fontId="3"/>
  </si>
  <si>
    <t>壁2</t>
    <rPh sb="0" eb="1">
      <t>カベ</t>
    </rPh>
    <phoneticPr fontId="3"/>
  </si>
  <si>
    <t>壁3</t>
    <rPh sb="0" eb="1">
      <t>カベ</t>
    </rPh>
    <phoneticPr fontId="3"/>
  </si>
  <si>
    <t>壁4</t>
    <rPh sb="0" eb="1">
      <t>カベ</t>
    </rPh>
    <phoneticPr fontId="3"/>
  </si>
  <si>
    <t>壁5</t>
    <rPh sb="0" eb="1">
      <t>カベ</t>
    </rPh>
    <phoneticPr fontId="3"/>
  </si>
  <si>
    <t>計</t>
    <rPh sb="0" eb="1">
      <t>ケイ</t>
    </rPh>
    <phoneticPr fontId="3"/>
  </si>
  <si>
    <t>梁位置</t>
    <rPh sb="0" eb="1">
      <t>ハリ</t>
    </rPh>
    <rPh sb="1" eb="3">
      <t>イチ</t>
    </rPh>
    <phoneticPr fontId="3"/>
  </si>
  <si>
    <t>σb</t>
    <phoneticPr fontId="4"/>
  </si>
  <si>
    <t>δ</t>
    <phoneticPr fontId="3"/>
  </si>
  <si>
    <t>σs</t>
    <phoneticPr fontId="4"/>
  </si>
  <si>
    <t>長、短共</t>
    <rPh sb="0" eb="1">
      <t>チョウ</t>
    </rPh>
    <rPh sb="2" eb="3">
      <t>タン</t>
    </rPh>
    <rPh sb="3" eb="4">
      <t>トモ</t>
    </rPh>
    <phoneticPr fontId="3"/>
  </si>
  <si>
    <t xml:space="preserve"> 左L  中L  右L</t>
    <rPh sb="1" eb="2">
      <t>ヒダリ</t>
    </rPh>
    <rPh sb="5" eb="6">
      <t>ナカ</t>
    </rPh>
    <rPh sb="9" eb="10">
      <t>ミギ</t>
    </rPh>
    <phoneticPr fontId="3"/>
  </si>
  <si>
    <t>Wl/2</t>
    <phoneticPr fontId="3"/>
  </si>
  <si>
    <r>
      <t>Wl</t>
    </r>
    <r>
      <rPr>
        <vertAlign val="superscript"/>
        <sz val="10"/>
        <rFont val="ＭＳ 明朝"/>
        <family val="1"/>
        <charset val="128"/>
      </rPr>
      <t>2</t>
    </r>
    <r>
      <rPr>
        <sz val="12"/>
        <rFont val="ＭＳ 明朝"/>
        <family val="1"/>
        <charset val="128"/>
      </rPr>
      <t>/8</t>
    </r>
    <phoneticPr fontId="3"/>
  </si>
  <si>
    <t>σcv</t>
    <phoneticPr fontId="4"/>
  </si>
  <si>
    <t>Sσcv</t>
    <phoneticPr fontId="4"/>
  </si>
  <si>
    <t>中L</t>
    <rPh sb="0" eb="1">
      <t>ナカ</t>
    </rPh>
    <phoneticPr fontId="3"/>
  </si>
  <si>
    <t>P1=</t>
    <phoneticPr fontId="4"/>
  </si>
  <si>
    <t>P2=</t>
    <phoneticPr fontId="4"/>
  </si>
  <si>
    <t>平均W</t>
    <rPh sb="0" eb="2">
      <t>ヘイキン</t>
    </rPh>
    <phoneticPr fontId="3"/>
  </si>
  <si>
    <t>全長m</t>
    <rPh sb="0" eb="1">
      <t>ゼン</t>
    </rPh>
    <rPh sb="1" eb="2">
      <t>チョウ</t>
    </rPh>
    <phoneticPr fontId="3"/>
  </si>
  <si>
    <t>M1</t>
    <phoneticPr fontId="3"/>
  </si>
  <si>
    <t>M2</t>
    <phoneticPr fontId="3"/>
  </si>
  <si>
    <t>a1</t>
    <phoneticPr fontId="3"/>
  </si>
  <si>
    <t>b1</t>
    <phoneticPr fontId="3"/>
  </si>
  <si>
    <t>b2</t>
    <phoneticPr fontId="3"/>
  </si>
  <si>
    <t>a2</t>
    <phoneticPr fontId="3"/>
  </si>
  <si>
    <t>LM1</t>
    <phoneticPr fontId="3"/>
  </si>
  <si>
    <t>LM2</t>
    <phoneticPr fontId="3"/>
  </si>
  <si>
    <t>SM1</t>
    <phoneticPr fontId="3"/>
  </si>
  <si>
    <t>SM2</t>
    <phoneticPr fontId="3"/>
  </si>
  <si>
    <t>MaxLM</t>
    <phoneticPr fontId="3"/>
  </si>
  <si>
    <t>MaxSM</t>
    <phoneticPr fontId="3"/>
  </si>
  <si>
    <t>LQ1</t>
    <phoneticPr fontId="3"/>
  </si>
  <si>
    <t>LQ2</t>
    <phoneticPr fontId="3"/>
  </si>
  <si>
    <t>MaxLQ</t>
    <phoneticPr fontId="3"/>
  </si>
  <si>
    <t>MaxSQ</t>
    <phoneticPr fontId="3"/>
  </si>
  <si>
    <t>SQ1</t>
    <phoneticPr fontId="3"/>
  </si>
  <si>
    <t>SQ2</t>
    <phoneticPr fontId="3"/>
  </si>
  <si>
    <t>L^2-b^2</t>
    <phoneticPr fontId="3"/>
  </si>
  <si>
    <t>L1</t>
    <phoneticPr fontId="3"/>
  </si>
  <si>
    <t>P1</t>
    <phoneticPr fontId="3"/>
  </si>
  <si>
    <t>P2</t>
    <phoneticPr fontId="3"/>
  </si>
  <si>
    <t>P1*L1/L=P2</t>
    <phoneticPr fontId="3"/>
  </si>
  <si>
    <t>M3</t>
    <phoneticPr fontId="3"/>
  </si>
  <si>
    <t>maxM=M2+M3</t>
    <phoneticPr fontId="3"/>
  </si>
  <si>
    <t>maxM</t>
    <phoneticPr fontId="3"/>
  </si>
  <si>
    <t>M2&gt;M1</t>
    <phoneticPr fontId="3"/>
  </si>
  <si>
    <t>√(L^2-b^2)^3</t>
    <phoneticPr fontId="3"/>
  </si>
  <si>
    <t>多雪</t>
    <rPh sb="0" eb="1">
      <t>タ</t>
    </rPh>
    <rPh sb="1" eb="2">
      <t>ユキ</t>
    </rPh>
    <phoneticPr fontId="3"/>
  </si>
  <si>
    <r>
      <t>Lδ</t>
    </r>
    <r>
      <rPr>
        <sz val="12"/>
        <rFont val="ＭＳ 明朝"/>
        <family val="1"/>
        <charset val="128"/>
      </rPr>
      <t>(Iなし)</t>
    </r>
    <phoneticPr fontId="3"/>
  </si>
  <si>
    <t>たわみL</t>
    <phoneticPr fontId="3"/>
  </si>
  <si>
    <t>Sδ(Iなし)</t>
    <phoneticPr fontId="3"/>
  </si>
  <si>
    <t>LM</t>
    <phoneticPr fontId="3"/>
  </si>
  <si>
    <t>ｽﾊﾟﾝ(m)</t>
  </si>
  <si>
    <t>左左W</t>
    <rPh sb="0" eb="1">
      <t>ヒダリ</t>
    </rPh>
    <rPh sb="1" eb="2">
      <t>ヒダリ</t>
    </rPh>
    <phoneticPr fontId="3"/>
  </si>
  <si>
    <t>右右W</t>
    <rPh sb="0" eb="1">
      <t>ミギ</t>
    </rPh>
    <rPh sb="1" eb="2">
      <t>ミギ</t>
    </rPh>
    <phoneticPr fontId="3"/>
  </si>
  <si>
    <t>左右W</t>
    <rPh sb="0" eb="1">
      <t>ヒダリ</t>
    </rPh>
    <rPh sb="1" eb="2">
      <t>ミギ</t>
    </rPh>
    <phoneticPr fontId="3"/>
  </si>
  <si>
    <t>右左W</t>
    <rPh sb="0" eb="1">
      <t>ミギ</t>
    </rPh>
    <rPh sb="1" eb="2">
      <t>ヒダリ</t>
    </rPh>
    <phoneticPr fontId="3"/>
  </si>
  <si>
    <t>σb/Lfb</t>
    <phoneticPr fontId="4"/>
  </si>
  <si>
    <t>δ/δ'</t>
    <phoneticPr fontId="3"/>
  </si>
  <si>
    <t>σs/Lfs</t>
    <phoneticPr fontId="4"/>
  </si>
  <si>
    <t>計</t>
    <rPh sb="0" eb="1">
      <t>ケイ</t>
    </rPh>
    <phoneticPr fontId="3"/>
  </si>
  <si>
    <t>N/fs</t>
    <phoneticPr fontId="3"/>
  </si>
  <si>
    <t>集中荷重2</t>
    <rPh sb="0" eb="2">
      <t>シュウチュウ</t>
    </rPh>
    <rPh sb="2" eb="4">
      <t>カジュウ</t>
    </rPh>
    <phoneticPr fontId="4"/>
  </si>
  <si>
    <t>軒等Wb</t>
    <rPh sb="0" eb="1">
      <t>ノキ</t>
    </rPh>
    <rPh sb="1" eb="2">
      <t>トウ</t>
    </rPh>
    <phoneticPr fontId="3"/>
  </si>
  <si>
    <t>=軒先,螻羽出,下屋</t>
    <phoneticPr fontId="3"/>
  </si>
  <si>
    <t>桁・螻羽</t>
    <rPh sb="0" eb="1">
      <t>ケタ</t>
    </rPh>
    <rPh sb="2" eb="4">
      <t>ケラバ</t>
    </rPh>
    <phoneticPr fontId="3"/>
  </si>
  <si>
    <t>集中荷重　1</t>
    <rPh sb="0" eb="2">
      <t>シュウチュウ</t>
    </rPh>
    <rPh sb="2" eb="4">
      <t>カジュウ</t>
    </rPh>
    <phoneticPr fontId="3"/>
  </si>
  <si>
    <t>集中荷重　　2</t>
    <rPh sb="0" eb="2">
      <t>シュウチュウ</t>
    </rPh>
    <rPh sb="2" eb="4">
      <t>カジュウ</t>
    </rPh>
    <phoneticPr fontId="3"/>
  </si>
  <si>
    <t>床梁、胴差</t>
    <rPh sb="0" eb="1">
      <t>ユカ</t>
    </rPh>
    <rPh sb="1" eb="2">
      <t>ハリ</t>
    </rPh>
    <rPh sb="3" eb="4">
      <t>ドウ</t>
    </rPh>
    <rPh sb="4" eb="5">
      <t>サシ</t>
    </rPh>
    <phoneticPr fontId="3"/>
  </si>
  <si>
    <t>軒桁、螻羽</t>
    <rPh sb="0" eb="1">
      <t>ノキ</t>
    </rPh>
    <rPh sb="1" eb="2">
      <t>ケタ</t>
    </rPh>
    <rPh sb="3" eb="5">
      <t>ケラバ</t>
    </rPh>
    <phoneticPr fontId="3"/>
  </si>
  <si>
    <t>①簡単な使い方</t>
    <rPh sb="1" eb="3">
      <t>カンタン</t>
    </rPh>
    <rPh sb="4" eb="5">
      <t>ツカ</t>
    </rPh>
    <rPh sb="6" eb="7">
      <t>カタ</t>
    </rPh>
    <phoneticPr fontId="3"/>
  </si>
  <si>
    <t>m</t>
    <phoneticPr fontId="3"/>
  </si>
  <si>
    <t>ｽﾊﾟﾝ(m)       L</t>
    <phoneticPr fontId="3"/>
  </si>
  <si>
    <t>No</t>
    <phoneticPr fontId="3"/>
  </si>
  <si>
    <t>/10</t>
    <phoneticPr fontId="3"/>
  </si>
  <si>
    <t>μB</t>
    <phoneticPr fontId="4"/>
  </si>
  <si>
    <t>×</t>
    <phoneticPr fontId="3"/>
  </si>
  <si>
    <t xml:space="preserve"> A                                    6</t>
    <phoneticPr fontId="3"/>
  </si>
  <si>
    <t xml:space="preserve"> B                                    6</t>
    <phoneticPr fontId="3"/>
  </si>
  <si>
    <t>σcv/fcvが1.0までOK!</t>
    <phoneticPr fontId="3"/>
  </si>
  <si>
    <t>※</t>
    <phoneticPr fontId="3"/>
  </si>
  <si>
    <t>ｼｰﾄの断面算定、断面算定2、断面算定3のいづれかを選択する</t>
    <rPh sb="4" eb="6">
      <t>ダンメン</t>
    </rPh>
    <rPh sb="6" eb="8">
      <t>サンテイ</t>
    </rPh>
    <rPh sb="9" eb="11">
      <t>ダンメン</t>
    </rPh>
    <rPh sb="11" eb="13">
      <t>サンテイ</t>
    </rPh>
    <rPh sb="15" eb="17">
      <t>ダンメン</t>
    </rPh>
    <rPh sb="17" eb="19">
      <t>サンテイ</t>
    </rPh>
    <rPh sb="26" eb="28">
      <t>センタク</t>
    </rPh>
    <phoneticPr fontId="3"/>
  </si>
  <si>
    <t>断面算定は小屋梁、登梁、軒桁、床小梁、母屋、棟木、垂木、根太、跳出梁</t>
    <rPh sb="0" eb="2">
      <t>ダンメン</t>
    </rPh>
    <rPh sb="2" eb="4">
      <t>サンテイ</t>
    </rPh>
    <rPh sb="5" eb="7">
      <t>コヤ</t>
    </rPh>
    <rPh sb="7" eb="8">
      <t>ハリ</t>
    </rPh>
    <rPh sb="9" eb="10">
      <t>ノボ</t>
    </rPh>
    <rPh sb="10" eb="11">
      <t>ハリ</t>
    </rPh>
    <rPh sb="12" eb="13">
      <t>ノキ</t>
    </rPh>
    <rPh sb="13" eb="14">
      <t>ケタ</t>
    </rPh>
    <rPh sb="15" eb="16">
      <t>ユカ</t>
    </rPh>
    <rPh sb="16" eb="17">
      <t>コ</t>
    </rPh>
    <rPh sb="17" eb="18">
      <t>ハリ</t>
    </rPh>
    <rPh sb="19" eb="21">
      <t>モヤ</t>
    </rPh>
    <rPh sb="22" eb="23">
      <t>ムネ</t>
    </rPh>
    <rPh sb="23" eb="24">
      <t>キ</t>
    </rPh>
    <rPh sb="25" eb="27">
      <t>タルキ</t>
    </rPh>
    <rPh sb="28" eb="30">
      <t>ネダ</t>
    </rPh>
    <rPh sb="31" eb="32">
      <t>ハ</t>
    </rPh>
    <rPh sb="32" eb="33">
      <t>デ</t>
    </rPh>
    <rPh sb="33" eb="34">
      <t>ハリ</t>
    </rPh>
    <phoneticPr fontId="3"/>
  </si>
  <si>
    <t>断面算定2は集中荷重(材間に上部より柱、束等により荷重がかかる場合)</t>
    <rPh sb="0" eb="2">
      <t>ダンメン</t>
    </rPh>
    <rPh sb="2" eb="4">
      <t>サンテイ</t>
    </rPh>
    <rPh sb="6" eb="8">
      <t>シュウチュウ</t>
    </rPh>
    <rPh sb="8" eb="10">
      <t>カジュウ</t>
    </rPh>
    <rPh sb="11" eb="12">
      <t>ザイ</t>
    </rPh>
    <rPh sb="12" eb="13">
      <t>カン</t>
    </rPh>
    <rPh sb="14" eb="16">
      <t>ジョウブ</t>
    </rPh>
    <rPh sb="18" eb="19">
      <t>ハシラ</t>
    </rPh>
    <rPh sb="20" eb="21">
      <t>ツカ</t>
    </rPh>
    <rPh sb="21" eb="22">
      <t>トウ</t>
    </rPh>
    <rPh sb="25" eb="27">
      <t>カジュウ</t>
    </rPh>
    <rPh sb="31" eb="33">
      <t>バアイ</t>
    </rPh>
    <phoneticPr fontId="3"/>
  </si>
  <si>
    <t>断面算定3は断面算定2の場合の軒桁、螻羽材の場合</t>
    <rPh sb="0" eb="2">
      <t>ダンメン</t>
    </rPh>
    <rPh sb="2" eb="4">
      <t>サンテイ</t>
    </rPh>
    <rPh sb="6" eb="8">
      <t>ダンメン</t>
    </rPh>
    <rPh sb="8" eb="10">
      <t>サンテイ</t>
    </rPh>
    <rPh sb="12" eb="14">
      <t>バアイ</t>
    </rPh>
    <rPh sb="15" eb="16">
      <t>ノキ</t>
    </rPh>
    <rPh sb="16" eb="17">
      <t>ケタ</t>
    </rPh>
    <rPh sb="18" eb="20">
      <t>ケラバ</t>
    </rPh>
    <rPh sb="20" eb="21">
      <t>ザイ</t>
    </rPh>
    <rPh sb="22" eb="24">
      <t>バアイ</t>
    </rPh>
    <phoneticPr fontId="3"/>
  </si>
  <si>
    <t>建築場所を積雪地域の黄色の部分の「ﾎﾞﾀﾝ｣で決定する</t>
    <rPh sb="0" eb="2">
      <t>ケンチク</t>
    </rPh>
    <rPh sb="2" eb="4">
      <t>バショ</t>
    </rPh>
    <rPh sb="5" eb="7">
      <t>セキセツ</t>
    </rPh>
    <rPh sb="7" eb="9">
      <t>チイキ</t>
    </rPh>
    <rPh sb="10" eb="12">
      <t>キイロ</t>
    </rPh>
    <rPh sb="13" eb="15">
      <t>ブブン</t>
    </rPh>
    <rPh sb="23" eb="25">
      <t>ケッテイ</t>
    </rPh>
    <phoneticPr fontId="3"/>
  </si>
  <si>
    <t>材の間隔、ｽﾊﾟﾝは下記による</t>
    <rPh sb="0" eb="1">
      <t>ザイ</t>
    </rPh>
    <rPh sb="2" eb="4">
      <t>カンカク</t>
    </rPh>
    <rPh sb="10" eb="12">
      <t>カキ</t>
    </rPh>
    <phoneticPr fontId="3"/>
  </si>
  <si>
    <t>部材仕口の検討</t>
    <rPh sb="0" eb="2">
      <t>ブザイ</t>
    </rPh>
    <rPh sb="2" eb="3">
      <t>シ</t>
    </rPh>
    <rPh sb="3" eb="4">
      <t>クチ</t>
    </rPh>
    <rPh sb="5" eb="7">
      <t>ケントウ</t>
    </rPh>
    <phoneticPr fontId="3"/>
  </si>
  <si>
    <t>断面形状で矩形ﾀｲﾌﾟ､下部円形ﾀｲﾌﾟ､くさび形ﾀｲﾌﾟを選択する</t>
    <rPh sb="0" eb="2">
      <t>ダンメン</t>
    </rPh>
    <rPh sb="2" eb="4">
      <t>ケイジョウ</t>
    </rPh>
    <rPh sb="5" eb="7">
      <t>クケイ</t>
    </rPh>
    <rPh sb="12" eb="14">
      <t>カブ</t>
    </rPh>
    <rPh sb="14" eb="16">
      <t>エンケイ</t>
    </rPh>
    <rPh sb="24" eb="25">
      <t>カタ</t>
    </rPh>
    <rPh sb="30" eb="32">
      <t>センタク</t>
    </rPh>
    <phoneticPr fontId="3"/>
  </si>
  <si>
    <t>lcm(1</t>
    <phoneticPr fontId="3"/>
  </si>
  <si>
    <t>wcm(1</t>
    <phoneticPr fontId="3"/>
  </si>
  <si>
    <t>lcm(2</t>
    <phoneticPr fontId="3"/>
  </si>
  <si>
    <t>wcm(2</t>
    <phoneticPr fontId="3"/>
  </si>
  <si>
    <t>深さDmm</t>
    <rPh sb="0" eb="1">
      <t>フカ</t>
    </rPh>
    <phoneticPr fontId="3"/>
  </si>
  <si>
    <t>Ho mm</t>
    <phoneticPr fontId="3"/>
  </si>
  <si>
    <t>H6 mm</t>
    <phoneticPr fontId="3"/>
  </si>
  <si>
    <t>上巾Bmm</t>
    <rPh sb="0" eb="1">
      <t>ウエ</t>
    </rPh>
    <rPh sb="1" eb="2">
      <t>ハバ</t>
    </rPh>
    <phoneticPr fontId="3"/>
  </si>
  <si>
    <t>下Bo mm</t>
    <rPh sb="0" eb="1">
      <t>シタ</t>
    </rPh>
    <phoneticPr fontId="3"/>
  </si>
  <si>
    <t>形状</t>
    <rPh sb="0" eb="2">
      <t>ケイジョウ</t>
    </rPh>
    <phoneticPr fontId="3"/>
  </si>
  <si>
    <t>耐力算定</t>
    <rPh sb="0" eb="2">
      <t>タイリョク</t>
    </rPh>
    <rPh sb="2" eb="4">
      <t>サンテイ</t>
    </rPh>
    <phoneticPr fontId="23"/>
  </si>
  <si>
    <t>大入れ深さ D mm</t>
    <rPh sb="0" eb="1">
      <t>ダイ</t>
    </rPh>
    <rPh sb="1" eb="2">
      <t>イ</t>
    </rPh>
    <rPh sb="3" eb="4">
      <t>フカ</t>
    </rPh>
    <phoneticPr fontId="23"/>
  </si>
  <si>
    <t>度</t>
    <rPh sb="0" eb="1">
      <t>ド</t>
    </rPh>
    <phoneticPr fontId="23"/>
  </si>
  <si>
    <t>sinθ</t>
    <phoneticPr fontId="23"/>
  </si>
  <si>
    <t>cosθ</t>
    <phoneticPr fontId="23"/>
  </si>
  <si>
    <t>tanθ</t>
    <phoneticPr fontId="23"/>
  </si>
  <si>
    <t>Paθ</t>
    <phoneticPr fontId="23"/>
  </si>
  <si>
    <r>
      <t>N/mm</t>
    </r>
    <r>
      <rPr>
        <vertAlign val="superscript"/>
        <sz val="11"/>
        <color theme="1"/>
        <rFont val="ＭＳ 明朝"/>
        <family val="1"/>
        <charset val="128"/>
      </rPr>
      <t>2</t>
    </r>
    <phoneticPr fontId="23"/>
  </si>
  <si>
    <t>RC</t>
    <phoneticPr fontId="23"/>
  </si>
  <si>
    <t>kN</t>
    <phoneticPr fontId="23"/>
  </si>
  <si>
    <t>β</t>
    <phoneticPr fontId="23"/>
  </si>
  <si>
    <t>RV</t>
    <phoneticPr fontId="23"/>
  </si>
  <si>
    <t>支圧耐力</t>
    <rPh sb="0" eb="2">
      <t>シアツ</t>
    </rPh>
    <rPh sb="2" eb="4">
      <t>タイリョク</t>
    </rPh>
    <phoneticPr fontId="23"/>
  </si>
  <si>
    <t>ΣR  kN</t>
    <phoneticPr fontId="23"/>
  </si>
  <si>
    <t>ΣRの要素</t>
    <rPh sb="3" eb="5">
      <t>ヨウソ</t>
    </rPh>
    <phoneticPr fontId="23"/>
  </si>
  <si>
    <t>RC %</t>
    <phoneticPr fontId="23"/>
  </si>
  <si>
    <t>RV %</t>
    <phoneticPr fontId="23"/>
  </si>
  <si>
    <t>断面積</t>
    <rPh sb="0" eb="3">
      <t>ダンメンセキ</t>
    </rPh>
    <phoneticPr fontId="23"/>
  </si>
  <si>
    <t>A1</t>
    <phoneticPr fontId="23"/>
  </si>
  <si>
    <t xml:space="preserve">耐力OA1 </t>
    <rPh sb="0" eb="2">
      <t>タイリョク</t>
    </rPh>
    <phoneticPr fontId="23"/>
  </si>
  <si>
    <t>短期仕口耐力Rs kN</t>
    <rPh sb="0" eb="2">
      <t>タンキ</t>
    </rPh>
    <rPh sb="2" eb="3">
      <t>シ</t>
    </rPh>
    <rPh sb="3" eb="4">
      <t>グチ</t>
    </rPh>
    <rPh sb="4" eb="6">
      <t>タイリョク</t>
    </rPh>
    <phoneticPr fontId="23"/>
  </si>
  <si>
    <t>くさび型断面仕口</t>
    <rPh sb="3" eb="4">
      <t>カタ</t>
    </rPh>
    <rPh sb="4" eb="6">
      <t>ダンメン</t>
    </rPh>
    <rPh sb="6" eb="7">
      <t>シ</t>
    </rPh>
    <rPh sb="7" eb="8">
      <t>グチ</t>
    </rPh>
    <phoneticPr fontId="23"/>
  </si>
  <si>
    <t>標準θを12.0度～13.0度範囲とする</t>
    <rPh sb="0" eb="2">
      <t>ヒョウジュン</t>
    </rPh>
    <rPh sb="8" eb="9">
      <t>ド</t>
    </rPh>
    <rPh sb="14" eb="15">
      <t>ド</t>
    </rPh>
    <rPh sb="15" eb="17">
      <t>ハンイ</t>
    </rPh>
    <phoneticPr fontId="23"/>
  </si>
  <si>
    <t>θ(度)</t>
    <rPh sb="2" eb="3">
      <t>ド</t>
    </rPh>
    <phoneticPr fontId="23"/>
  </si>
  <si>
    <t>比率(%)</t>
    <rPh sb="0" eb="2">
      <t>ヒリツ</t>
    </rPh>
    <phoneticPr fontId="23"/>
  </si>
  <si>
    <t>杉　　　　　　　　　　　　　　　　　　1</t>
    <rPh sb="0" eb="1">
      <t>スギ</t>
    </rPh>
    <phoneticPr fontId="23"/>
  </si>
  <si>
    <t>せん断Fs</t>
    <rPh sb="2" eb="3">
      <t>ダン</t>
    </rPh>
    <phoneticPr fontId="23"/>
  </si>
  <si>
    <t>形状係数</t>
    <rPh sb="0" eb="2">
      <t>ケイジョウ</t>
    </rPh>
    <rPh sb="2" eb="4">
      <t>ケイスウ</t>
    </rPh>
    <phoneticPr fontId="23"/>
  </si>
  <si>
    <t>θ</t>
    <phoneticPr fontId="23"/>
  </si>
  <si>
    <t>Pa0</t>
    <phoneticPr fontId="23"/>
  </si>
  <si>
    <t>Pa90</t>
    <phoneticPr fontId="23"/>
  </si>
  <si>
    <t>No1</t>
    <phoneticPr fontId="23"/>
  </si>
  <si>
    <t>No2</t>
    <phoneticPr fontId="23"/>
  </si>
  <si>
    <t>No3</t>
    <phoneticPr fontId="23"/>
  </si>
  <si>
    <t>No4</t>
    <phoneticPr fontId="23"/>
  </si>
  <si>
    <t>No5</t>
    <phoneticPr fontId="23"/>
  </si>
  <si>
    <t>No6</t>
    <phoneticPr fontId="23"/>
  </si>
  <si>
    <t>Ho</t>
    <phoneticPr fontId="23"/>
  </si>
  <si>
    <t>mm</t>
    <phoneticPr fontId="23"/>
  </si>
  <si>
    <t>H6</t>
    <phoneticPr fontId="23"/>
  </si>
  <si>
    <t>B</t>
    <phoneticPr fontId="23"/>
  </si>
  <si>
    <t>Bo</t>
    <phoneticPr fontId="23"/>
  </si>
  <si>
    <t>S</t>
    <phoneticPr fontId="23"/>
  </si>
  <si>
    <t>檜　　　　　　　　　　　　　　　　　　　　　　　　　　　2</t>
    <rPh sb="0" eb="1">
      <t>ヒノキ</t>
    </rPh>
    <phoneticPr fontId="23"/>
  </si>
  <si>
    <t>θ゜</t>
    <phoneticPr fontId="3"/>
  </si>
  <si>
    <t>比率</t>
    <rPh sb="0" eb="2">
      <t>ヒリツ</t>
    </rPh>
    <phoneticPr fontId="23"/>
  </si>
  <si>
    <t>比率</t>
    <rPh sb="0" eb="2">
      <t>ヒリツ</t>
    </rPh>
    <phoneticPr fontId="3"/>
  </si>
  <si>
    <t>くさび型の場合記入</t>
    <rPh sb="3" eb="4">
      <t>カタ</t>
    </rPh>
    <rPh sb="5" eb="7">
      <t>バアイ</t>
    </rPh>
    <rPh sb="7" eb="9">
      <t>キニュウ</t>
    </rPh>
    <phoneticPr fontId="3"/>
  </si>
  <si>
    <t>米松　　　　　　　　　　　　　　　　　　　　　　　　　　　　3</t>
    <rPh sb="0" eb="1">
      <t>コメ</t>
    </rPh>
    <rPh sb="1" eb="2">
      <t>マツ</t>
    </rPh>
    <phoneticPr fontId="23"/>
  </si>
  <si>
    <t>赤松　　　　　　　　　　　　　　　　　　　　　　　　　　　　4</t>
    <rPh sb="0" eb="1">
      <t>アカ</t>
    </rPh>
    <rPh sb="1" eb="2">
      <t>マツ</t>
    </rPh>
    <phoneticPr fontId="23"/>
  </si>
  <si>
    <t>黒松　　　　　　　　　　　　　　　　　　　　　　　　　　　　4</t>
    <rPh sb="0" eb="1">
      <t>クロ</t>
    </rPh>
    <rPh sb="1" eb="2">
      <t>マツ</t>
    </rPh>
    <phoneticPr fontId="23"/>
  </si>
  <si>
    <t>No7</t>
  </si>
  <si>
    <t>No8</t>
  </si>
  <si>
    <t>No9</t>
  </si>
  <si>
    <t>No10</t>
  </si>
  <si>
    <t>No11</t>
  </si>
  <si>
    <t>No12</t>
  </si>
  <si>
    <t>No13</t>
  </si>
  <si>
    <t>No14</t>
  </si>
  <si>
    <t>No15</t>
  </si>
  <si>
    <t>No16</t>
  </si>
  <si>
    <t>No17</t>
  </si>
  <si>
    <t>No18</t>
  </si>
  <si>
    <t>No19</t>
  </si>
  <si>
    <t>No20</t>
  </si>
  <si>
    <t>No21</t>
    <phoneticPr fontId="3"/>
  </si>
  <si>
    <t>矩形等端部仕口(木口面積)</t>
    <rPh sb="0" eb="2">
      <t>クケイ</t>
    </rPh>
    <rPh sb="2" eb="3">
      <t>トウ</t>
    </rPh>
    <rPh sb="3" eb="4">
      <t>ハシ</t>
    </rPh>
    <rPh sb="4" eb="5">
      <t>ブ</t>
    </rPh>
    <rPh sb="5" eb="6">
      <t>シ</t>
    </rPh>
    <rPh sb="6" eb="7">
      <t>クチ</t>
    </rPh>
    <rPh sb="8" eb="9">
      <t>キ</t>
    </rPh>
    <rPh sb="9" eb="10">
      <t>クチ</t>
    </rPh>
    <rPh sb="10" eb="12">
      <t>メンセキ</t>
    </rPh>
    <phoneticPr fontId="3"/>
  </si>
  <si>
    <t>くさび型                                     1</t>
    <rPh sb="3" eb="4">
      <t>カタ</t>
    </rPh>
    <phoneticPr fontId="3"/>
  </si>
  <si>
    <t>矩形                                                       2</t>
    <rPh sb="0" eb="2">
      <t>クケイ</t>
    </rPh>
    <phoneticPr fontId="3"/>
  </si>
  <si>
    <t>下部円形                                                                    2</t>
    <rPh sb="0" eb="2">
      <t>カブ</t>
    </rPh>
    <rPh sb="2" eb="4">
      <t>エンケイ</t>
    </rPh>
    <phoneticPr fontId="3"/>
  </si>
  <si>
    <t>下Bo</t>
    <rPh sb="0" eb="1">
      <t>シタ</t>
    </rPh>
    <phoneticPr fontId="3"/>
  </si>
  <si>
    <t>くさび型以外の場合</t>
    <rPh sb="3" eb="4">
      <t>カタ</t>
    </rPh>
    <rPh sb="4" eb="6">
      <t>イガイ</t>
    </rPh>
    <rPh sb="7" eb="9">
      <t>バアイ</t>
    </rPh>
    <phoneticPr fontId="3"/>
  </si>
  <si>
    <t>bcmの部分に記入</t>
    <rPh sb="4" eb="6">
      <t>ブブン</t>
    </rPh>
    <rPh sb="7" eb="9">
      <t>キニュウ</t>
    </rPh>
    <phoneticPr fontId="3"/>
  </si>
  <si>
    <t>12.0～13.0が理想</t>
    <rPh sb="10" eb="12">
      <t>リソウ</t>
    </rPh>
    <phoneticPr fontId="3"/>
  </si>
  <si>
    <t>下BoかHoの数値にて調整する</t>
    <rPh sb="0" eb="1">
      <t>シタ</t>
    </rPh>
    <rPh sb="7" eb="9">
      <t>スウチ</t>
    </rPh>
    <rPh sb="11" eb="13">
      <t>チョウセイ</t>
    </rPh>
    <phoneticPr fontId="3"/>
  </si>
  <si>
    <t>下BoかHoの数値にてどちらかが1.0に近くなるよう調整する</t>
    <rPh sb="0" eb="1">
      <t>シタ</t>
    </rPh>
    <rPh sb="7" eb="9">
      <t>スウチ</t>
    </rPh>
    <rPh sb="20" eb="21">
      <t>チカ</t>
    </rPh>
    <rPh sb="26" eb="28">
      <t>チョウセイ</t>
    </rPh>
    <phoneticPr fontId="3"/>
  </si>
  <si>
    <t>但し1.0以下とする</t>
    <rPh sb="0" eb="1">
      <t>タダ</t>
    </rPh>
    <rPh sb="5" eb="7">
      <t>イカ</t>
    </rPh>
    <phoneticPr fontId="3"/>
  </si>
  <si>
    <t>図面等の材の場所の覚えのためで特に書き入れしなくてもよい</t>
    <rPh sb="0" eb="2">
      <t>ズメン</t>
    </rPh>
    <rPh sb="2" eb="3">
      <t>トウ</t>
    </rPh>
    <rPh sb="4" eb="5">
      <t>ザイ</t>
    </rPh>
    <rPh sb="6" eb="8">
      <t>バショ</t>
    </rPh>
    <rPh sb="9" eb="10">
      <t>オボ</t>
    </rPh>
    <rPh sb="15" eb="16">
      <t>トク</t>
    </rPh>
    <rPh sb="17" eb="18">
      <t>カ</t>
    </rPh>
    <rPh sb="19" eb="20">
      <t>イ</t>
    </rPh>
    <phoneticPr fontId="3"/>
  </si>
  <si>
    <t>使用説明</t>
    <rPh sb="0" eb="1">
      <t>ツカ</t>
    </rPh>
    <rPh sb="1" eb="2">
      <t>ヨウ</t>
    </rPh>
    <rPh sb="2" eb="4">
      <t>セツメイ</t>
    </rPh>
    <phoneticPr fontId="3"/>
  </si>
  <si>
    <t>単位重量を建物に合わせたい場合は準備の「シート」をｸﾘｯｸし、黄色の部分を調整する</t>
    <rPh sb="0" eb="2">
      <t>タンイ</t>
    </rPh>
    <rPh sb="2" eb="4">
      <t>ジュウリョウ</t>
    </rPh>
    <rPh sb="5" eb="7">
      <t>タテモノ</t>
    </rPh>
    <rPh sb="8" eb="9">
      <t>ア</t>
    </rPh>
    <rPh sb="13" eb="15">
      <t>バアイ</t>
    </rPh>
    <rPh sb="16" eb="18">
      <t>ジュンビ</t>
    </rPh>
    <rPh sb="31" eb="33">
      <t>キイロ</t>
    </rPh>
    <rPh sb="34" eb="36">
      <t>ブブン</t>
    </rPh>
    <rPh sb="37" eb="39">
      <t>チョウセイ</t>
    </rPh>
    <phoneticPr fontId="3"/>
  </si>
  <si>
    <t>断面形状</t>
    <rPh sb="0" eb="2">
      <t>ダンメン</t>
    </rPh>
    <rPh sb="2" eb="4">
      <t>ケイジョウ</t>
    </rPh>
    <phoneticPr fontId="3"/>
  </si>
  <si>
    <t>くさび倍率</t>
    <rPh sb="3" eb="5">
      <t>バイリツ</t>
    </rPh>
    <phoneticPr fontId="3"/>
  </si>
  <si>
    <t>倍率</t>
    <rPh sb="0" eb="2">
      <t>バイリツ</t>
    </rPh>
    <phoneticPr fontId="3"/>
  </si>
  <si>
    <t>安全率</t>
    <rPh sb="0" eb="2">
      <t>アンゼン</t>
    </rPh>
    <rPh sb="2" eb="3">
      <t>リツ</t>
    </rPh>
    <phoneticPr fontId="3"/>
  </si>
  <si>
    <t>採用率</t>
    <rPh sb="0" eb="2">
      <t>サイヨウ</t>
    </rPh>
    <rPh sb="2" eb="3">
      <t>リツ</t>
    </rPh>
    <phoneticPr fontId="3"/>
  </si>
  <si>
    <t>1.0以下になるよう調整</t>
    <rPh sb="3" eb="5">
      <t>イカ</t>
    </rPh>
    <rPh sb="10" eb="12">
      <t>チョウセイ</t>
    </rPh>
    <phoneticPr fontId="3"/>
  </si>
  <si>
    <t>屋根部間隔(m)</t>
    <rPh sb="0" eb="2">
      <t>ヤネ</t>
    </rPh>
    <rPh sb="2" eb="3">
      <t>ブ</t>
    </rPh>
    <rPh sb="3" eb="5">
      <t>カンカク</t>
    </rPh>
    <phoneticPr fontId="3"/>
  </si>
  <si>
    <t>下部に柱がある場合無視する</t>
    <rPh sb="0" eb="2">
      <t>カブ</t>
    </rPh>
    <rPh sb="3" eb="4">
      <t>ハシラ</t>
    </rPh>
    <rPh sb="7" eb="9">
      <t>バアイ</t>
    </rPh>
    <rPh sb="9" eb="11">
      <t>ムシ</t>
    </rPh>
    <phoneticPr fontId="3"/>
  </si>
  <si>
    <r>
      <t xml:space="preserve"> </t>
    </r>
    <r>
      <rPr>
        <sz val="12"/>
        <rFont val="ＭＳ 明朝"/>
        <family val="1"/>
        <charset val="128"/>
      </rPr>
      <t>壁1                                                  1</t>
    </r>
    <rPh sb="1" eb="2">
      <t>カベ</t>
    </rPh>
    <phoneticPr fontId="3"/>
  </si>
  <si>
    <r>
      <t xml:space="preserve"> </t>
    </r>
    <r>
      <rPr>
        <sz val="12"/>
        <rFont val="ＭＳ 明朝"/>
        <family val="1"/>
        <charset val="128"/>
      </rPr>
      <t>壁2                                                 2</t>
    </r>
    <rPh sb="1" eb="2">
      <t>カベ</t>
    </rPh>
    <phoneticPr fontId="3"/>
  </si>
  <si>
    <r>
      <t xml:space="preserve"> </t>
    </r>
    <r>
      <rPr>
        <sz val="12"/>
        <rFont val="ＭＳ 明朝"/>
        <family val="1"/>
        <charset val="128"/>
      </rPr>
      <t>壁3                                            3</t>
    </r>
    <rPh sb="1" eb="2">
      <t>カベ</t>
    </rPh>
    <phoneticPr fontId="3"/>
  </si>
  <si>
    <r>
      <t xml:space="preserve"> </t>
    </r>
    <r>
      <rPr>
        <sz val="12"/>
        <rFont val="ＭＳ 明朝"/>
        <family val="1"/>
        <charset val="128"/>
      </rPr>
      <t>壁4                                           4</t>
    </r>
    <rPh sb="1" eb="2">
      <t>カベ</t>
    </rPh>
    <phoneticPr fontId="3"/>
  </si>
  <si>
    <r>
      <t xml:space="preserve"> </t>
    </r>
    <r>
      <rPr>
        <sz val="12"/>
        <rFont val="ＭＳ 明朝"/>
        <family val="1"/>
        <charset val="128"/>
      </rPr>
      <t>壁5                                                 5</t>
    </r>
    <rPh sb="1" eb="2">
      <t>カベ</t>
    </rPh>
    <phoneticPr fontId="3"/>
  </si>
  <si>
    <t>有</t>
    <rPh sb="0" eb="1">
      <t>アリ</t>
    </rPh>
    <phoneticPr fontId="3"/>
  </si>
  <si>
    <t>無</t>
    <rPh sb="0" eb="1">
      <t>ナシ</t>
    </rPh>
    <phoneticPr fontId="3"/>
  </si>
  <si>
    <t>小屋梁</t>
    <rPh sb="0" eb="2">
      <t>コヤ</t>
    </rPh>
    <rPh sb="2" eb="3">
      <t>ハリ</t>
    </rPh>
    <phoneticPr fontId="3"/>
  </si>
  <si>
    <t>2階梁桁</t>
    <rPh sb="1" eb="2">
      <t>カイ</t>
    </rPh>
    <rPh sb="2" eb="3">
      <t>ハリ</t>
    </rPh>
    <rPh sb="3" eb="4">
      <t>ケタ</t>
    </rPh>
    <phoneticPr fontId="3"/>
  </si>
  <si>
    <t>片側欠き込み0.9</t>
    <rPh sb="0" eb="1">
      <t>カタ</t>
    </rPh>
    <rPh sb="1" eb="2">
      <t>ソク</t>
    </rPh>
    <rPh sb="2" eb="3">
      <t>カ</t>
    </rPh>
    <rPh sb="4" eb="5">
      <t>コ</t>
    </rPh>
    <phoneticPr fontId="3"/>
  </si>
  <si>
    <t>両側書き込み0.8</t>
    <rPh sb="0" eb="2">
      <t>リョウガワ</t>
    </rPh>
    <rPh sb="2" eb="3">
      <t>カ</t>
    </rPh>
    <rPh sb="4" eb="5">
      <t>コ</t>
    </rPh>
    <phoneticPr fontId="3"/>
  </si>
  <si>
    <t>野地板、床板の種類</t>
    <rPh sb="0" eb="2">
      <t>ノジ</t>
    </rPh>
    <rPh sb="2" eb="3">
      <t>イタ</t>
    </rPh>
    <rPh sb="4" eb="5">
      <t>ユカ</t>
    </rPh>
    <rPh sb="5" eb="6">
      <t>イタ</t>
    </rPh>
    <rPh sb="7" eb="9">
      <t>シュルイ</t>
    </rPh>
    <phoneticPr fontId="3"/>
  </si>
  <si>
    <t>横架材</t>
    <rPh sb="0" eb="3">
      <t>オウカザイ</t>
    </rPh>
    <phoneticPr fontId="3"/>
  </si>
  <si>
    <t>丸太材</t>
    <rPh sb="0" eb="2">
      <t>マルタ</t>
    </rPh>
    <rPh sb="2" eb="3">
      <t>ザイ</t>
    </rPh>
    <phoneticPr fontId="3"/>
  </si>
  <si>
    <t>たる木、根太</t>
    <rPh sb="2" eb="3">
      <t>キ</t>
    </rPh>
    <rPh sb="4" eb="6">
      <t>ネダ</t>
    </rPh>
    <phoneticPr fontId="3"/>
  </si>
  <si>
    <t>横架材</t>
    <rPh sb="0" eb="1">
      <t>ヨコ</t>
    </rPh>
    <rPh sb="1" eb="2">
      <t>カ</t>
    </rPh>
    <rPh sb="2" eb="3">
      <t>ザイ</t>
    </rPh>
    <phoneticPr fontId="3"/>
  </si>
  <si>
    <t>丸太材</t>
    <rPh sb="0" eb="2">
      <t>マルタ</t>
    </rPh>
    <rPh sb="2" eb="3">
      <t>ザイ</t>
    </rPh>
    <phoneticPr fontId="3"/>
  </si>
  <si>
    <t>細物(垂木、根太)</t>
    <rPh sb="0" eb="2">
      <t>ホソモノ</t>
    </rPh>
    <rPh sb="3" eb="5">
      <t>タルキ</t>
    </rPh>
    <rPh sb="6" eb="8">
      <t>ネダ</t>
    </rPh>
    <phoneticPr fontId="3"/>
  </si>
  <si>
    <t>庇等の出</t>
    <rPh sb="0" eb="1">
      <t>ヒサシ</t>
    </rPh>
    <rPh sb="1" eb="2">
      <t>トウ</t>
    </rPh>
    <rPh sb="3" eb="4">
      <t>デ</t>
    </rPh>
    <phoneticPr fontId="3"/>
  </si>
  <si>
    <t>L</t>
    <phoneticPr fontId="3"/>
  </si>
  <si>
    <t>l</t>
    <phoneticPr fontId="3"/>
  </si>
  <si>
    <t>l</t>
    <phoneticPr fontId="3"/>
  </si>
  <si>
    <t>OK!</t>
    <phoneticPr fontId="3"/>
  </si>
  <si>
    <t>θ゜が12.0～13.0が理想である</t>
    <rPh sb="13" eb="15">
      <t>リソウ</t>
    </rPh>
    <phoneticPr fontId="3"/>
  </si>
  <si>
    <t>θ゜が12.0～13.0になるようHoと下Boの寸法で調整する</t>
    <rPh sb="20" eb="21">
      <t>シタ</t>
    </rPh>
    <rPh sb="24" eb="26">
      <t>スンポウ</t>
    </rPh>
    <rPh sb="27" eb="29">
      <t>チョウセイ</t>
    </rPh>
    <phoneticPr fontId="3"/>
  </si>
  <si>
    <t>　　どちらか記入</t>
    <rPh sb="6" eb="8">
      <t>キニュウ</t>
    </rPh>
    <phoneticPr fontId="3"/>
  </si>
  <si>
    <t>ｼｰﾄの準備の壁参照</t>
    <rPh sb="4" eb="6">
      <t>ジュンビ</t>
    </rPh>
    <rPh sb="7" eb="8">
      <t>カベ</t>
    </rPh>
    <rPh sb="8" eb="10">
      <t>サンショウ</t>
    </rPh>
    <phoneticPr fontId="3"/>
  </si>
  <si>
    <t>但馬木造住宅振興協議会</t>
    <rPh sb="0" eb="2">
      <t>タジマ</t>
    </rPh>
    <rPh sb="2" eb="4">
      <t>モクゾウ</t>
    </rPh>
    <rPh sb="4" eb="6">
      <t>ジュウタク</t>
    </rPh>
    <rPh sb="6" eb="8">
      <t>シンコウ</t>
    </rPh>
    <rPh sb="8" eb="10">
      <t>キョウギ</t>
    </rPh>
    <rPh sb="10" eb="11">
      <t>カイ</t>
    </rPh>
    <phoneticPr fontId="3"/>
  </si>
  <si>
    <t>Lfcv</t>
    <phoneticPr fontId="3"/>
  </si>
  <si>
    <t>Sfcv</t>
    <phoneticPr fontId="3"/>
  </si>
  <si>
    <t>W</t>
    <phoneticPr fontId="3"/>
  </si>
  <si>
    <t>b2</t>
    <phoneticPr fontId="3"/>
  </si>
  <si>
    <t>b</t>
    <phoneticPr fontId="3"/>
  </si>
  <si>
    <t>E</t>
    <phoneticPr fontId="3"/>
  </si>
  <si>
    <t>L</t>
    <phoneticPr fontId="3"/>
  </si>
  <si>
    <t>Wb</t>
    <phoneticPr fontId="3"/>
  </si>
  <si>
    <t>L2-b2</t>
    <phoneticPr fontId="3"/>
  </si>
  <si>
    <t>9*SQRT(3)</t>
    <phoneticPr fontId="3"/>
  </si>
  <si>
    <t>EL</t>
    <phoneticPr fontId="3"/>
  </si>
  <si>
    <t>BJ7*BJ8</t>
    <phoneticPr fontId="3"/>
  </si>
  <si>
    <t>POWER(BA17-AY17,3)</t>
    <phoneticPr fontId="3"/>
  </si>
  <si>
    <t>9*SQRT(3)*AS19*BJ11</t>
    <phoneticPr fontId="3"/>
  </si>
  <si>
    <t>ROUNDUP(BJ7*BJ8*SQRT(POWER(BA17-AY17,3)/(9*SQRT(3)*AS19*BJ11)+BY19+CO18,1)</t>
    <phoneticPr fontId="3"/>
  </si>
  <si>
    <t>シートを使用するに当たって</t>
    <rPh sb="4" eb="6">
      <t>シヨウ</t>
    </rPh>
    <rPh sb="9" eb="10">
      <t>ア</t>
    </rPh>
    <phoneticPr fontId="3"/>
  </si>
  <si>
    <t>A</t>
    <phoneticPr fontId="3"/>
  </si>
  <si>
    <t>仕口のﾎﾞﾙﾄ耐力は無視している</t>
    <rPh sb="0" eb="1">
      <t>シ</t>
    </rPh>
    <rPh sb="1" eb="2">
      <t>グチ</t>
    </rPh>
    <rPh sb="7" eb="9">
      <t>タイリョク</t>
    </rPh>
    <rPh sb="10" eb="12">
      <t>ムシ</t>
    </rPh>
    <phoneticPr fontId="3"/>
  </si>
  <si>
    <t>B</t>
    <phoneticPr fontId="3"/>
  </si>
  <si>
    <t>仕口の受け側の大入れより下部の寸法は60mmを原則としている</t>
    <rPh sb="0" eb="1">
      <t>シ</t>
    </rPh>
    <rPh sb="1" eb="2">
      <t>グチ</t>
    </rPh>
    <rPh sb="3" eb="4">
      <t>ウ</t>
    </rPh>
    <rPh sb="5" eb="6">
      <t>ソク</t>
    </rPh>
    <rPh sb="7" eb="8">
      <t>オオ</t>
    </rPh>
    <rPh sb="8" eb="9">
      <t>イ</t>
    </rPh>
    <rPh sb="12" eb="14">
      <t>カブ</t>
    </rPh>
    <rPh sb="15" eb="17">
      <t>スンポウ</t>
    </rPh>
    <rPh sb="23" eb="25">
      <t>ゲンソク</t>
    </rPh>
    <phoneticPr fontId="3"/>
  </si>
  <si>
    <t>(但し、下部に柱がある場合は下部寸法は無視する)</t>
    <rPh sb="1" eb="2">
      <t>タダ</t>
    </rPh>
    <rPh sb="4" eb="6">
      <t>カブ</t>
    </rPh>
    <rPh sb="7" eb="8">
      <t>ハシラ</t>
    </rPh>
    <rPh sb="11" eb="13">
      <t>バアイ</t>
    </rPh>
    <rPh sb="14" eb="16">
      <t>カブ</t>
    </rPh>
    <rPh sb="16" eb="18">
      <t>スンポウ</t>
    </rPh>
    <rPh sb="19" eb="21">
      <t>ムシ</t>
    </rPh>
    <phoneticPr fontId="3"/>
  </si>
  <si>
    <t xml:space="preserve">    図面等の材の場所の覚えのためで特に書き入れしなくてもよい</t>
    <rPh sb="4" eb="6">
      <t>ズメン</t>
    </rPh>
    <rPh sb="6" eb="7">
      <t>トウ</t>
    </rPh>
    <rPh sb="8" eb="9">
      <t>ザイ</t>
    </rPh>
    <rPh sb="10" eb="12">
      <t>バショ</t>
    </rPh>
    <rPh sb="13" eb="14">
      <t>オボ</t>
    </rPh>
    <rPh sb="19" eb="20">
      <t>トク</t>
    </rPh>
    <rPh sb="21" eb="22">
      <t>カ</t>
    </rPh>
    <rPh sb="23" eb="24">
      <t>イ</t>
    </rPh>
    <phoneticPr fontId="3"/>
  </si>
  <si>
    <t>C</t>
    <phoneticPr fontId="3"/>
  </si>
  <si>
    <t>断面算定のｼｰﾄから始めていいが、単位荷重を重視する場合はｼｰﾄの「準備」部分を開き</t>
    <rPh sb="0" eb="2">
      <t>ダンメン</t>
    </rPh>
    <rPh sb="2" eb="4">
      <t>サンテイ</t>
    </rPh>
    <rPh sb="10" eb="11">
      <t>ハジ</t>
    </rPh>
    <rPh sb="17" eb="19">
      <t>タンイ</t>
    </rPh>
    <rPh sb="19" eb="21">
      <t>カジュウ</t>
    </rPh>
    <rPh sb="22" eb="24">
      <t>ジュウシ</t>
    </rPh>
    <rPh sb="26" eb="28">
      <t>バアイ</t>
    </rPh>
    <rPh sb="34" eb="36">
      <t>ジュンビ</t>
    </rPh>
    <rPh sb="37" eb="39">
      <t>ブブン</t>
    </rPh>
    <rPh sb="40" eb="41">
      <t>ヒラ</t>
    </rPh>
    <phoneticPr fontId="3"/>
  </si>
  <si>
    <t>記入変更を行う</t>
    <rPh sb="0" eb="2">
      <t>キニュウ</t>
    </rPh>
    <rPh sb="2" eb="4">
      <t>ヘンコウ</t>
    </rPh>
    <rPh sb="5" eb="6">
      <t>オコナ</t>
    </rPh>
    <phoneticPr fontId="3"/>
  </si>
  <si>
    <t>壁の有無</t>
    <rPh sb="0" eb="1">
      <t>カベ</t>
    </rPh>
    <rPh sb="2" eb="4">
      <t>ウム</t>
    </rPh>
    <phoneticPr fontId="3"/>
  </si>
  <si>
    <t>壁</t>
    <rPh sb="0" eb="1">
      <t>カベ</t>
    </rPh>
    <phoneticPr fontId="3"/>
  </si>
  <si>
    <t>壁の種類</t>
    <rPh sb="0" eb="1">
      <t>カベ</t>
    </rPh>
    <rPh sb="2" eb="4">
      <t>シュルイ</t>
    </rPh>
    <phoneticPr fontId="3"/>
  </si>
  <si>
    <t xml:space="preserve"> 有　　　　　　　　　　　　　　　　　　　　1</t>
    <rPh sb="1" eb="2">
      <t>アリ</t>
    </rPh>
    <phoneticPr fontId="3"/>
  </si>
  <si>
    <t>壁高(m)</t>
    <rPh sb="0" eb="1">
      <t>カベ</t>
    </rPh>
    <rPh sb="1" eb="2">
      <t>タカ</t>
    </rPh>
    <phoneticPr fontId="3"/>
  </si>
  <si>
    <t>E</t>
    <phoneticPr fontId="3"/>
  </si>
  <si>
    <t>中間部に柱が無い床梁、桁、小梁</t>
    <rPh sb="0" eb="2">
      <t>チュウカン</t>
    </rPh>
    <rPh sb="2" eb="3">
      <t>ブ</t>
    </rPh>
    <rPh sb="4" eb="5">
      <t>ハシラ</t>
    </rPh>
    <rPh sb="6" eb="7">
      <t>ナ</t>
    </rPh>
    <rPh sb="8" eb="9">
      <t>ユカ</t>
    </rPh>
    <rPh sb="9" eb="10">
      <t>ハリ</t>
    </rPh>
    <rPh sb="11" eb="12">
      <t>ケタ</t>
    </rPh>
    <rPh sb="13" eb="14">
      <t>コ</t>
    </rPh>
    <rPh sb="14" eb="15">
      <t>ハリ</t>
    </rPh>
    <phoneticPr fontId="3"/>
  </si>
  <si>
    <t>D</t>
    <phoneticPr fontId="3"/>
  </si>
  <si>
    <t>主要な構造材の成は一般地域では小屋部分は150mm以上、2階部分は180mm以上、多雪地域では</t>
    <rPh sb="0" eb="2">
      <t>シュヨウ</t>
    </rPh>
    <rPh sb="3" eb="5">
      <t>コウゾウ</t>
    </rPh>
    <rPh sb="5" eb="6">
      <t>ザイ</t>
    </rPh>
    <rPh sb="7" eb="8">
      <t>ナ</t>
    </rPh>
    <rPh sb="9" eb="11">
      <t>イッパン</t>
    </rPh>
    <rPh sb="11" eb="13">
      <t>チイキ</t>
    </rPh>
    <rPh sb="15" eb="17">
      <t>コヤ</t>
    </rPh>
    <rPh sb="17" eb="19">
      <t>ブブン</t>
    </rPh>
    <rPh sb="25" eb="27">
      <t>イジョウ</t>
    </rPh>
    <rPh sb="29" eb="30">
      <t>カイ</t>
    </rPh>
    <rPh sb="30" eb="32">
      <t>ブブン</t>
    </rPh>
    <rPh sb="38" eb="40">
      <t>イジョウ</t>
    </rPh>
    <rPh sb="41" eb="43">
      <t>タセツ</t>
    </rPh>
    <rPh sb="43" eb="45">
      <t>チイキ</t>
    </rPh>
    <phoneticPr fontId="3"/>
  </si>
  <si>
    <t>小屋部分は180mm以上、2階部分は210mm以上を原則とする。</t>
    <rPh sb="0" eb="2">
      <t>コヤ</t>
    </rPh>
    <rPh sb="2" eb="4">
      <t>ブブン</t>
    </rPh>
    <rPh sb="10" eb="12">
      <t>イジョウ</t>
    </rPh>
    <rPh sb="14" eb="15">
      <t>カイ</t>
    </rPh>
    <rPh sb="15" eb="17">
      <t>ブブン</t>
    </rPh>
    <rPh sb="23" eb="25">
      <t>イジョウ</t>
    </rPh>
    <rPh sb="26" eb="28">
      <t>ゲンソク</t>
    </rPh>
    <phoneticPr fontId="3"/>
  </si>
  <si>
    <t>l(Lの小文字)2'cmとl2''は平均値(l2'+l2''/2)を記入</t>
    <rPh sb="4" eb="7">
      <t>コモジ</t>
    </rPh>
    <rPh sb="18" eb="20">
      <t>ヘイキン</t>
    </rPh>
    <rPh sb="20" eb="21">
      <t>チ</t>
    </rPh>
    <rPh sb="34" eb="36">
      <t>キニュウ</t>
    </rPh>
    <phoneticPr fontId="3"/>
  </si>
  <si>
    <t>見付面</t>
    <rPh sb="0" eb="1">
      <t>ミ</t>
    </rPh>
    <rPh sb="1" eb="2">
      <t>ツ</t>
    </rPh>
    <rPh sb="2" eb="3">
      <t>メン</t>
    </rPh>
    <phoneticPr fontId="3"/>
  </si>
  <si>
    <t>上巾Bcm</t>
    <rPh sb="0" eb="1">
      <t>ウエ</t>
    </rPh>
    <rPh sb="1" eb="2">
      <t>ハバ</t>
    </rPh>
    <phoneticPr fontId="3"/>
  </si>
  <si>
    <t>下Bocm</t>
    <rPh sb="0" eb="1">
      <t>シタ</t>
    </rPh>
    <phoneticPr fontId="3"/>
  </si>
  <si>
    <t>くさび型のl(Lの小文字)1cmは上巾B(cm)を記入</t>
    <rPh sb="3" eb="4">
      <t>カタ</t>
    </rPh>
    <rPh sb="9" eb="12">
      <t>コモジ</t>
    </rPh>
    <rPh sb="17" eb="18">
      <t>ウエ</t>
    </rPh>
    <rPh sb="18" eb="19">
      <t>ハバ</t>
    </rPh>
    <rPh sb="25" eb="27">
      <t>キニュウ</t>
    </rPh>
    <phoneticPr fontId="3"/>
  </si>
  <si>
    <t>E</t>
    <phoneticPr fontId="3"/>
  </si>
  <si>
    <t>※記入する寸法の単位に特に注意する(m,cm,mm)</t>
    <rPh sb="1" eb="3">
      <t>キニュウ</t>
    </rPh>
    <rPh sb="5" eb="7">
      <t>スンポウ</t>
    </rPh>
    <rPh sb="8" eb="10">
      <t>タンイ</t>
    </rPh>
    <rPh sb="11" eb="12">
      <t>トク</t>
    </rPh>
    <rPh sb="13" eb="15">
      <t>チュウイ</t>
    </rPh>
    <phoneticPr fontId="3"/>
  </si>
  <si>
    <t>深さDcm</t>
    <rPh sb="0" eb="1">
      <t>フカ</t>
    </rPh>
    <phoneticPr fontId="3"/>
  </si>
  <si>
    <t>Ho cm</t>
    <phoneticPr fontId="3"/>
  </si>
  <si>
    <t>H6 cm</t>
    <phoneticPr fontId="3"/>
  </si>
  <si>
    <t>下Bo cm</t>
    <rPh sb="0" eb="1">
      <t>シタ</t>
    </rPh>
    <phoneticPr fontId="3"/>
  </si>
  <si>
    <t>Ho cm</t>
    <phoneticPr fontId="3"/>
  </si>
  <si>
    <t>H6 cm</t>
    <phoneticPr fontId="3"/>
  </si>
  <si>
    <t>使　　用　　説　　明　　書</t>
    <rPh sb="0" eb="1">
      <t>シ</t>
    </rPh>
    <rPh sb="3" eb="4">
      <t>ヨウ</t>
    </rPh>
    <rPh sb="6" eb="7">
      <t>セツ</t>
    </rPh>
    <rPh sb="9" eb="10">
      <t>メイ</t>
    </rPh>
    <rPh sb="12" eb="13">
      <t>ショ</t>
    </rPh>
    <phoneticPr fontId="3"/>
  </si>
  <si>
    <t>但馬木造住宅振興協議会</t>
    <rPh sb="0" eb="2">
      <t>タジマ</t>
    </rPh>
    <rPh sb="2" eb="4">
      <t>モクゾウ</t>
    </rPh>
    <rPh sb="4" eb="6">
      <t>ジュウタク</t>
    </rPh>
    <rPh sb="6" eb="8">
      <t>シンコウ</t>
    </rPh>
    <rPh sb="8" eb="11">
      <t>キョウギカイ</t>
    </rPh>
    <phoneticPr fontId="3"/>
  </si>
  <si>
    <t>矩形又は下部円形の場合記入</t>
    <rPh sb="0" eb="2">
      <t>クケイ</t>
    </rPh>
    <rPh sb="2" eb="3">
      <t>マタ</t>
    </rPh>
    <rPh sb="4" eb="6">
      <t>カブ</t>
    </rPh>
    <rPh sb="6" eb="8">
      <t>エンケイ</t>
    </rPh>
    <rPh sb="9" eb="11">
      <t>バアイ</t>
    </rPh>
    <rPh sb="11" eb="13">
      <t>キニュウ</t>
    </rPh>
    <phoneticPr fontId="3"/>
  </si>
  <si>
    <t>　くさび型の場合</t>
    <rPh sb="4" eb="5">
      <t>カタ</t>
    </rPh>
    <rPh sb="6" eb="8">
      <t>バアイ</t>
    </rPh>
    <phoneticPr fontId="3"/>
  </si>
  <si>
    <t>水平長さを記入</t>
    <rPh sb="0" eb="2">
      <t>スイヘイ</t>
    </rPh>
    <rPh sb="2" eb="3">
      <t>ナガ</t>
    </rPh>
    <rPh sb="5" eb="7">
      <t>キニュウ</t>
    </rPh>
    <phoneticPr fontId="3"/>
  </si>
  <si>
    <t>軒先より棟側</t>
    <rPh sb="0" eb="1">
      <t>ノキ</t>
    </rPh>
    <rPh sb="1" eb="2">
      <t>サキ</t>
    </rPh>
    <rPh sb="4" eb="5">
      <t>ムネ</t>
    </rPh>
    <rPh sb="5" eb="6">
      <t>ソク</t>
    </rPh>
    <phoneticPr fontId="3"/>
  </si>
  <si>
    <t>　軒先長さ</t>
    <rPh sb="1" eb="2">
      <t>ノキ</t>
    </rPh>
    <rPh sb="2" eb="3">
      <t>サキ</t>
    </rPh>
    <rPh sb="3" eb="4">
      <t>ナガ</t>
    </rPh>
    <phoneticPr fontId="3"/>
  </si>
  <si>
    <t>母屋間隔</t>
    <rPh sb="0" eb="2">
      <t>モヤ</t>
    </rPh>
    <rPh sb="2" eb="4">
      <t>カンカク</t>
    </rPh>
    <phoneticPr fontId="3"/>
  </si>
  <si>
    <t>和田山町    　　　　　1.0</t>
  </si>
  <si>
    <t>区分なし、等級無                                               7</t>
  </si>
  <si>
    <t>小屋部分</t>
    <rPh sb="0" eb="2">
      <t>コヤ</t>
    </rPh>
    <rPh sb="2" eb="4">
      <t>ブブン</t>
    </rPh>
    <phoneticPr fontId="3"/>
  </si>
  <si>
    <t>1/</t>
    <phoneticPr fontId="3"/>
  </si>
  <si>
    <t xml:space="preserve"> 軒又はけらばの場合は長さの2倍を記入</t>
    <rPh sb="1" eb="2">
      <t>ノキ</t>
    </rPh>
    <rPh sb="2" eb="3">
      <t>マタ</t>
    </rPh>
    <rPh sb="8" eb="10">
      <t>バアイ</t>
    </rPh>
    <rPh sb="11" eb="12">
      <t>ナガ</t>
    </rPh>
    <rPh sb="15" eb="16">
      <t>バイ</t>
    </rPh>
    <rPh sb="17" eb="19">
      <t>キニュウ</t>
    </rPh>
    <phoneticPr fontId="3"/>
  </si>
  <si>
    <t xml:space="preserve"> F                                    8</t>
    <phoneticPr fontId="3"/>
  </si>
  <si>
    <t xml:space="preserve"> G                                   8</t>
    <phoneticPr fontId="3"/>
  </si>
  <si>
    <t xml:space="preserve"> H                                    8</t>
    <phoneticPr fontId="3"/>
  </si>
  <si>
    <t xml:space="preserve"> I                                    8</t>
    <phoneticPr fontId="3"/>
  </si>
  <si>
    <t xml:space="preserve"> J                                    8</t>
    <phoneticPr fontId="3"/>
  </si>
  <si>
    <t>板類の設計</t>
    <rPh sb="0" eb="1">
      <t>イタ</t>
    </rPh>
    <rPh sb="1" eb="2">
      <t>ルイ</t>
    </rPh>
    <rPh sb="3" eb="5">
      <t>セッケイ</t>
    </rPh>
    <phoneticPr fontId="3"/>
  </si>
  <si>
    <t>野地板及び床板</t>
    <rPh sb="0" eb="1">
      <t>ノ</t>
    </rPh>
    <rPh sb="1" eb="2">
      <t>チ</t>
    </rPh>
    <rPh sb="2" eb="3">
      <t>イタ</t>
    </rPh>
    <rPh sb="3" eb="4">
      <t>オヨ</t>
    </rPh>
    <rPh sb="5" eb="6">
      <t>ユカ</t>
    </rPh>
    <rPh sb="6" eb="7">
      <t>イタ</t>
    </rPh>
    <phoneticPr fontId="3"/>
  </si>
  <si>
    <t xml:space="preserve">  屋根野地板 No1</t>
    <rPh sb="2" eb="4">
      <t>ヤネ</t>
    </rPh>
    <rPh sb="4" eb="5">
      <t>ノ</t>
    </rPh>
    <rPh sb="5" eb="6">
      <t>チ</t>
    </rPh>
    <rPh sb="6" eb="7">
      <t>イタ</t>
    </rPh>
    <phoneticPr fontId="3"/>
  </si>
  <si>
    <t xml:space="preserve">  屋根野地板 No2</t>
    <rPh sb="2" eb="4">
      <t>ヤネ</t>
    </rPh>
    <rPh sb="4" eb="5">
      <t>ノ</t>
    </rPh>
    <rPh sb="5" eb="6">
      <t>チ</t>
    </rPh>
    <rPh sb="6" eb="7">
      <t>イタ</t>
    </rPh>
    <phoneticPr fontId="3"/>
  </si>
  <si>
    <t>床板 No1</t>
    <rPh sb="0" eb="1">
      <t>ユカ</t>
    </rPh>
    <rPh sb="1" eb="2">
      <t>イタ</t>
    </rPh>
    <phoneticPr fontId="3"/>
  </si>
  <si>
    <t>床板 No2</t>
    <rPh sb="0" eb="1">
      <t>ユカ</t>
    </rPh>
    <rPh sb="1" eb="2">
      <t>イタ</t>
    </rPh>
    <phoneticPr fontId="3"/>
  </si>
  <si>
    <t>単位荷重</t>
    <rPh sb="0" eb="2">
      <t>タンイ</t>
    </rPh>
    <rPh sb="2" eb="4">
      <t>カジュウ</t>
    </rPh>
    <phoneticPr fontId="3"/>
  </si>
  <si>
    <t>TL</t>
    <phoneticPr fontId="4"/>
  </si>
  <si>
    <t>位置</t>
    <rPh sb="0" eb="2">
      <t>イチ</t>
    </rPh>
    <phoneticPr fontId="3"/>
  </si>
  <si>
    <t>中間</t>
  </si>
  <si>
    <t>使用材種</t>
    <rPh sb="0" eb="2">
      <t>シヨウ</t>
    </rPh>
    <rPh sb="2" eb="4">
      <t>ザイシュ</t>
    </rPh>
    <phoneticPr fontId="4"/>
  </si>
  <si>
    <t xml:space="preserve">   杉　　　　　　　　　　　　　　　　　　　　　　　　　　　　　　1</t>
    <rPh sb="3" eb="4">
      <t>スギ</t>
    </rPh>
    <phoneticPr fontId="3"/>
  </si>
  <si>
    <t xml:space="preserve">   檜                                                     2</t>
    <rPh sb="3" eb="4">
      <t>ヒノキ</t>
    </rPh>
    <phoneticPr fontId="3"/>
  </si>
  <si>
    <t>許容応力度N/c㎡</t>
    <rPh sb="0" eb="2">
      <t>キョヨウ</t>
    </rPh>
    <rPh sb="2" eb="4">
      <t>オウリョク</t>
    </rPh>
    <rPh sb="4" eb="5">
      <t>ド</t>
    </rPh>
    <phoneticPr fontId="3"/>
  </si>
  <si>
    <t>fb</t>
    <phoneticPr fontId="4"/>
  </si>
  <si>
    <t>fs</t>
    <phoneticPr fontId="4"/>
  </si>
  <si>
    <t>E</t>
    <phoneticPr fontId="4"/>
  </si>
  <si>
    <t>屋根勾配</t>
    <rPh sb="0" eb="2">
      <t>ヤネ</t>
    </rPh>
    <rPh sb="2" eb="4">
      <t>コウバイ</t>
    </rPh>
    <phoneticPr fontId="3"/>
  </si>
  <si>
    <t>支点間長</t>
    <rPh sb="0" eb="2">
      <t>シテン</t>
    </rPh>
    <rPh sb="2" eb="3">
      <t>カン</t>
    </rPh>
    <rPh sb="3" eb="4">
      <t>ナガ</t>
    </rPh>
    <phoneticPr fontId="3"/>
  </si>
  <si>
    <r>
      <t>L</t>
    </r>
    <r>
      <rPr>
        <sz val="12"/>
        <rFont val="ＭＳ 明朝"/>
        <family val="1"/>
        <charset val="128"/>
      </rPr>
      <t>(m)</t>
    </r>
    <phoneticPr fontId="4"/>
  </si>
  <si>
    <t>材巾</t>
    <rPh sb="0" eb="1">
      <t>ザイ</t>
    </rPh>
    <rPh sb="1" eb="2">
      <t>ハバ</t>
    </rPh>
    <phoneticPr fontId="3"/>
  </si>
  <si>
    <r>
      <t>b</t>
    </r>
    <r>
      <rPr>
        <sz val="12"/>
        <rFont val="ＭＳ 明朝"/>
        <family val="1"/>
        <charset val="128"/>
      </rPr>
      <t>(cm)</t>
    </r>
    <phoneticPr fontId="4"/>
  </si>
  <si>
    <t>材厚</t>
    <rPh sb="0" eb="1">
      <t>ザイ</t>
    </rPh>
    <rPh sb="1" eb="2">
      <t>アツ</t>
    </rPh>
    <phoneticPr fontId="3"/>
  </si>
  <si>
    <r>
      <t>h</t>
    </r>
    <r>
      <rPr>
        <sz val="12"/>
        <rFont val="ＭＳ 明朝"/>
        <family val="1"/>
        <charset val="128"/>
      </rPr>
      <t>(cm)</t>
    </r>
    <phoneticPr fontId="4"/>
  </si>
  <si>
    <t>A</t>
  </si>
  <si>
    <t>Zx</t>
  </si>
  <si>
    <t>M</t>
    <phoneticPr fontId="4"/>
  </si>
  <si>
    <t>Q</t>
    <phoneticPr fontId="4"/>
  </si>
  <si>
    <r>
      <t>σb</t>
    </r>
    <r>
      <rPr>
        <sz val="12"/>
        <rFont val="ＭＳ 明朝"/>
        <family val="1"/>
        <charset val="128"/>
      </rPr>
      <t>(N)</t>
    </r>
    <phoneticPr fontId="4"/>
  </si>
  <si>
    <r>
      <t>σb</t>
    </r>
    <r>
      <rPr>
        <sz val="12"/>
        <rFont val="ＭＳ 明朝"/>
        <family val="1"/>
        <charset val="128"/>
      </rPr>
      <t>/fb</t>
    </r>
    <phoneticPr fontId="4"/>
  </si>
  <si>
    <t>I</t>
    <phoneticPr fontId="3"/>
  </si>
  <si>
    <r>
      <t>δ=</t>
    </r>
    <r>
      <rPr>
        <sz val="12"/>
        <rFont val="ＭＳ 明朝"/>
        <family val="1"/>
        <charset val="128"/>
      </rPr>
      <t>5wL</t>
    </r>
    <r>
      <rPr>
        <vertAlign val="superscript"/>
        <sz val="11"/>
        <rFont val="ＭＳ 明朝"/>
        <family val="1"/>
        <charset val="128"/>
      </rPr>
      <t>4</t>
    </r>
    <r>
      <rPr>
        <sz val="11"/>
        <rFont val="ＭＳ 明朝"/>
        <family val="1"/>
        <charset val="128"/>
      </rPr>
      <t>/</t>
    </r>
    <r>
      <rPr>
        <sz val="12"/>
        <rFont val="ＭＳ 明朝"/>
        <family val="1"/>
        <charset val="128"/>
      </rPr>
      <t>3</t>
    </r>
    <r>
      <rPr>
        <sz val="12"/>
        <rFont val="ＭＳ 明朝"/>
        <family val="1"/>
        <charset val="128"/>
      </rPr>
      <t>84EI</t>
    </r>
    <phoneticPr fontId="4"/>
  </si>
  <si>
    <t>許容撓み</t>
    <rPh sb="0" eb="2">
      <t>キョヨウ</t>
    </rPh>
    <rPh sb="2" eb="3">
      <t>タワ</t>
    </rPh>
    <phoneticPr fontId="3"/>
  </si>
  <si>
    <t>(cm)</t>
    <phoneticPr fontId="3"/>
  </si>
  <si>
    <t xml:space="preserve">  屋根　　　　　　　　　　　　1</t>
    <rPh sb="2" eb="4">
      <t>ヤネ</t>
    </rPh>
    <phoneticPr fontId="3"/>
  </si>
  <si>
    <t xml:space="preserve">  床　　　　　　　　　　　　　2</t>
    <rPh sb="2" eb="3">
      <t>ユカ</t>
    </rPh>
    <phoneticPr fontId="3"/>
  </si>
  <si>
    <t>　　杉                        2</t>
    <rPh sb="2" eb="3">
      <t>スギ</t>
    </rPh>
    <phoneticPr fontId="4"/>
  </si>
  <si>
    <t>fb</t>
    <phoneticPr fontId="4"/>
  </si>
  <si>
    <t>fs</t>
    <phoneticPr fontId="4"/>
  </si>
  <si>
    <t>E</t>
    <phoneticPr fontId="4"/>
  </si>
  <si>
    <t>ft</t>
    <phoneticPr fontId="4"/>
  </si>
  <si>
    <t>fc</t>
    <phoneticPr fontId="4"/>
  </si>
  <si>
    <t>巾(b)cm</t>
    <rPh sb="0" eb="1">
      <t>ハバ</t>
    </rPh>
    <phoneticPr fontId="3"/>
  </si>
  <si>
    <t>束数</t>
    <rPh sb="0" eb="1">
      <t>ツカ</t>
    </rPh>
    <rPh sb="1" eb="2">
      <t>スウ</t>
    </rPh>
    <phoneticPr fontId="3"/>
  </si>
  <si>
    <t>重ね梁の設計</t>
    <rPh sb="0" eb="1">
      <t>カサ</t>
    </rPh>
    <rPh sb="2" eb="3">
      <t>ハリ</t>
    </rPh>
    <rPh sb="4" eb="6">
      <t>セッケイ</t>
    </rPh>
    <phoneticPr fontId="3"/>
  </si>
  <si>
    <t>重ね梁</t>
    <rPh sb="0" eb="1">
      <t>カサ</t>
    </rPh>
    <rPh sb="2" eb="3">
      <t>ハリ</t>
    </rPh>
    <phoneticPr fontId="3"/>
  </si>
  <si>
    <t>　　桧　　　　　　　　　　　　1</t>
    <rPh sb="2" eb="3">
      <t>ヒノキ</t>
    </rPh>
    <phoneticPr fontId="4"/>
  </si>
  <si>
    <t>m</t>
    <phoneticPr fontId="3"/>
  </si>
  <si>
    <t>材の寸法</t>
    <rPh sb="0" eb="1">
      <t>ザイ</t>
    </rPh>
    <rPh sb="2" eb="4">
      <t>スンポウ</t>
    </rPh>
    <phoneticPr fontId="3"/>
  </si>
  <si>
    <t>重ね数</t>
    <rPh sb="0" eb="1">
      <t>カサ</t>
    </rPh>
    <rPh sb="2" eb="3">
      <t>スウ</t>
    </rPh>
    <phoneticPr fontId="3"/>
  </si>
  <si>
    <t xml:space="preserve">   2層                   1</t>
    <rPh sb="4" eb="5">
      <t>ソウ</t>
    </rPh>
    <phoneticPr fontId="3"/>
  </si>
  <si>
    <t>I</t>
    <phoneticPr fontId="3"/>
  </si>
  <si>
    <t>Ie</t>
    <phoneticPr fontId="3"/>
  </si>
  <si>
    <t>(cm)</t>
    <phoneticPr fontId="3"/>
  </si>
  <si>
    <t>Z</t>
    <phoneticPr fontId="3"/>
  </si>
  <si>
    <t>Ze</t>
    <phoneticPr fontId="3"/>
  </si>
  <si>
    <t>σb(N)</t>
    <phoneticPr fontId="3"/>
  </si>
  <si>
    <t>有無</t>
    <rPh sb="0" eb="2">
      <t>ウム</t>
    </rPh>
    <phoneticPr fontId="3"/>
  </si>
  <si>
    <t xml:space="preserve">   無し             2</t>
    <rPh sb="3" eb="4">
      <t>ナ</t>
    </rPh>
    <phoneticPr fontId="3"/>
  </si>
  <si>
    <t>束数No</t>
    <rPh sb="0" eb="1">
      <t>ツカ</t>
    </rPh>
    <rPh sb="1" eb="2">
      <t>スウ</t>
    </rPh>
    <phoneticPr fontId="3"/>
  </si>
  <si>
    <t xml:space="preserve">   有り　　　　　　　　　　　1</t>
    <rPh sb="3" eb="4">
      <t>ア</t>
    </rPh>
    <phoneticPr fontId="3"/>
  </si>
  <si>
    <t>層数</t>
    <rPh sb="0" eb="1">
      <t>ソウ</t>
    </rPh>
    <rPh sb="1" eb="2">
      <t>スウ</t>
    </rPh>
    <phoneticPr fontId="3"/>
  </si>
  <si>
    <t>構造材</t>
    <rPh sb="0" eb="2">
      <t>コウゾウ</t>
    </rPh>
    <rPh sb="2" eb="3">
      <t>ザイ</t>
    </rPh>
    <phoneticPr fontId="3"/>
  </si>
  <si>
    <t>造作材</t>
    <rPh sb="0" eb="2">
      <t>ゾウサク</t>
    </rPh>
    <rPh sb="2" eb="3">
      <t>ザイ</t>
    </rPh>
    <phoneticPr fontId="3"/>
  </si>
  <si>
    <t>木材重量</t>
    <rPh sb="0" eb="2">
      <t>モクザイ</t>
    </rPh>
    <rPh sb="2" eb="4">
      <t>ジュウリョウ</t>
    </rPh>
    <phoneticPr fontId="3"/>
  </si>
  <si>
    <r>
      <t>kg/m</t>
    </r>
    <r>
      <rPr>
        <vertAlign val="superscript"/>
        <sz val="10"/>
        <rFont val="ＭＳ 明朝"/>
        <family val="1"/>
        <charset val="128"/>
      </rPr>
      <t>3</t>
    </r>
    <phoneticPr fontId="3"/>
  </si>
  <si>
    <r>
      <t>C</t>
    </r>
    <r>
      <rPr>
        <sz val="12"/>
        <rFont val="ＭＳ 明朝"/>
        <family val="1"/>
        <charset val="128"/>
      </rPr>
      <t>os</t>
    </r>
    <r>
      <rPr>
        <sz val="12"/>
        <rFont val="ＭＳ 明朝"/>
        <family val="1"/>
        <charset val="128"/>
      </rPr>
      <t>θ</t>
    </r>
    <phoneticPr fontId="4"/>
  </si>
  <si>
    <r>
      <t>S</t>
    </r>
    <r>
      <rPr>
        <sz val="12"/>
        <rFont val="ＭＳ 明朝"/>
        <family val="1"/>
        <charset val="128"/>
      </rPr>
      <t>in</t>
    </r>
    <r>
      <rPr>
        <sz val="12"/>
        <rFont val="ＭＳ 明朝"/>
        <family val="1"/>
        <charset val="128"/>
      </rPr>
      <t>θ</t>
    </r>
    <phoneticPr fontId="4"/>
  </si>
  <si>
    <t>W1</t>
    <phoneticPr fontId="3"/>
  </si>
  <si>
    <t>wn</t>
    <phoneticPr fontId="3"/>
  </si>
  <si>
    <t>wt</t>
    <phoneticPr fontId="3"/>
  </si>
  <si>
    <r>
      <t>瓦葺き　　　6</t>
    </r>
    <r>
      <rPr>
        <sz val="12"/>
        <rFont val="ＭＳ 明朝"/>
        <family val="1"/>
        <charset val="128"/>
      </rPr>
      <t>50</t>
    </r>
    <phoneticPr fontId="3"/>
  </si>
  <si>
    <t>(下地ﾀﾙ木共</t>
  </si>
  <si>
    <r>
      <t>鉄板葺き　　2</t>
    </r>
    <r>
      <rPr>
        <sz val="12"/>
        <rFont val="ＭＳ 明朝"/>
        <family val="1"/>
        <charset val="128"/>
      </rPr>
      <t>00</t>
    </r>
    <phoneticPr fontId="3"/>
  </si>
  <si>
    <r>
      <t>N</t>
    </r>
    <r>
      <rPr>
        <sz val="12"/>
        <rFont val="ＭＳ 明朝"/>
        <family val="1"/>
        <charset val="128"/>
      </rPr>
      <t>o</t>
    </r>
    <phoneticPr fontId="3"/>
  </si>
  <si>
    <t>間隔2.0m以下　　 50</t>
    <rPh sb="0" eb="2">
      <t>カンカク</t>
    </rPh>
    <rPh sb="6" eb="8">
      <t>イカ</t>
    </rPh>
    <phoneticPr fontId="4"/>
  </si>
  <si>
    <t>Fc</t>
    <phoneticPr fontId="3"/>
  </si>
  <si>
    <t>Ft</t>
    <phoneticPr fontId="3"/>
  </si>
  <si>
    <t>Fb</t>
    <phoneticPr fontId="3"/>
  </si>
  <si>
    <t>Fs</t>
    <phoneticPr fontId="3"/>
  </si>
  <si>
    <t>Fcv</t>
    <phoneticPr fontId="3"/>
  </si>
  <si>
    <t>E</t>
    <phoneticPr fontId="3"/>
  </si>
  <si>
    <t>間隔4.0m以下　　100　</t>
    <rPh sb="0" eb="2">
      <t>カンカク</t>
    </rPh>
    <rPh sb="6" eb="8">
      <t>イカ</t>
    </rPh>
    <phoneticPr fontId="4"/>
  </si>
  <si>
    <r>
      <t>一般　　　　      1</t>
    </r>
    <r>
      <rPr>
        <sz val="12"/>
        <rFont val="ＭＳ 明朝"/>
        <family val="1"/>
        <charset val="128"/>
      </rPr>
      <t>50</t>
    </r>
    <phoneticPr fontId="3"/>
  </si>
  <si>
    <t>区分なし</t>
  </si>
  <si>
    <t>等級無し</t>
  </si>
  <si>
    <r>
      <t xml:space="preserve">格縁 </t>
    </r>
    <r>
      <rPr>
        <sz val="12"/>
        <rFont val="ＭＳ 明朝"/>
        <family val="1"/>
        <charset val="128"/>
      </rPr>
      <t xml:space="preserve">   　　      300</t>
    </r>
    <rPh sb="0" eb="1">
      <t>カク</t>
    </rPh>
    <rPh sb="1" eb="2">
      <t>フチ</t>
    </rPh>
    <phoneticPr fontId="3"/>
  </si>
  <si>
    <r>
      <t xml:space="preserve">漆喰 </t>
    </r>
    <r>
      <rPr>
        <sz val="12"/>
        <rFont val="ＭＳ 明朝"/>
        <family val="1"/>
        <charset val="128"/>
      </rPr>
      <t xml:space="preserve">   　　      400</t>
    </r>
    <phoneticPr fontId="3"/>
  </si>
  <si>
    <r>
      <t xml:space="preserve">ﾓﾙﾀﾙ </t>
    </r>
    <r>
      <rPr>
        <sz val="12"/>
        <rFont val="ＭＳ 明朝"/>
        <family val="1"/>
        <charset val="128"/>
      </rPr>
      <t xml:space="preserve">   　　      600</t>
    </r>
    <phoneticPr fontId="3"/>
  </si>
  <si>
    <t>なし      　　      0</t>
    <phoneticPr fontId="4"/>
  </si>
  <si>
    <r>
      <t>板張り　　　　　　1</t>
    </r>
    <r>
      <rPr>
        <sz val="12"/>
        <rFont val="ＭＳ 明朝"/>
        <family val="1"/>
        <charset val="128"/>
      </rPr>
      <t>50</t>
    </r>
    <phoneticPr fontId="3"/>
  </si>
  <si>
    <r>
      <t xml:space="preserve">畳敷き </t>
    </r>
    <r>
      <rPr>
        <sz val="12"/>
        <rFont val="ＭＳ 明朝"/>
        <family val="1"/>
        <charset val="128"/>
      </rPr>
      <t xml:space="preserve">           350</t>
    </r>
    <phoneticPr fontId="3"/>
  </si>
  <si>
    <t>ひば                                                      7</t>
    <phoneticPr fontId="3"/>
  </si>
  <si>
    <r>
      <t xml:space="preserve">ﾘﾉﾘｭｳﾑ </t>
    </r>
    <r>
      <rPr>
        <sz val="12"/>
        <rFont val="ＭＳ 明朝"/>
        <family val="1"/>
        <charset val="128"/>
      </rPr>
      <t xml:space="preserve">   下地共  200</t>
    </r>
    <rPh sb="10" eb="12">
      <t>シタジ</t>
    </rPh>
    <rPh sb="12" eb="13">
      <t>トモ</t>
    </rPh>
    <phoneticPr fontId="4"/>
  </si>
  <si>
    <r>
      <t xml:space="preserve">ｶｰﾍﾟｯﾄ　　下地共 </t>
    </r>
    <r>
      <rPr>
        <sz val="12"/>
        <rFont val="ＭＳ 明朝"/>
        <family val="1"/>
        <charset val="128"/>
      </rPr>
      <t xml:space="preserve"> 200</t>
    </r>
    <rPh sb="8" eb="10">
      <t>シタジ</t>
    </rPh>
    <rPh sb="10" eb="11">
      <t>トモ</t>
    </rPh>
    <phoneticPr fontId="4"/>
  </si>
  <si>
    <t>4m    　　　100</t>
    <phoneticPr fontId="4"/>
  </si>
  <si>
    <t>もみ                                             10</t>
    <phoneticPr fontId="3"/>
  </si>
  <si>
    <t>5m    　　　150</t>
    <phoneticPr fontId="4"/>
  </si>
  <si>
    <t>6m    　　　200</t>
    <phoneticPr fontId="4"/>
  </si>
  <si>
    <t>7m    　　　200</t>
    <phoneticPr fontId="4"/>
  </si>
  <si>
    <t>8m    　　　250</t>
    <phoneticPr fontId="4"/>
  </si>
  <si>
    <t>なし                0</t>
    <phoneticPr fontId="4"/>
  </si>
  <si>
    <r>
      <t xml:space="preserve">下見板 </t>
    </r>
    <r>
      <rPr>
        <sz val="12"/>
        <rFont val="ＭＳ 明朝"/>
        <family val="1"/>
        <charset val="128"/>
      </rPr>
      <t xml:space="preserve">           100</t>
    </r>
    <phoneticPr fontId="3"/>
  </si>
  <si>
    <r>
      <t>ﾎﾞ-ﾄﾞ類</t>
    </r>
    <r>
      <rPr>
        <sz val="12"/>
        <rFont val="ＭＳ 明朝"/>
        <family val="1"/>
        <charset val="128"/>
      </rPr>
      <t xml:space="preserve">           150</t>
    </r>
    <phoneticPr fontId="3"/>
  </si>
  <si>
    <t>ぶな                                          17</t>
    <phoneticPr fontId="3"/>
  </si>
  <si>
    <r>
      <t xml:space="preserve">漆喰塗り </t>
    </r>
    <r>
      <rPr>
        <sz val="12"/>
        <rFont val="ＭＳ 明朝"/>
        <family val="1"/>
        <charset val="128"/>
      </rPr>
      <t xml:space="preserve">         350</t>
    </r>
    <phoneticPr fontId="3"/>
  </si>
  <si>
    <r>
      <t xml:space="preserve">ﾗｽﾓﾙﾀﾙ塗り </t>
    </r>
    <r>
      <rPr>
        <sz val="12"/>
        <rFont val="ＭＳ 明朝"/>
        <family val="1"/>
        <charset val="128"/>
      </rPr>
      <t xml:space="preserve">       750</t>
    </r>
    <phoneticPr fontId="4"/>
  </si>
  <si>
    <t>ﾌﾟﾗｽﾀｰ塗り 木摺　 400</t>
    <rPh sb="6" eb="7">
      <t>ヌ</t>
    </rPh>
    <rPh sb="9" eb="10">
      <t>キ</t>
    </rPh>
    <rPh sb="10" eb="11">
      <t>ス</t>
    </rPh>
    <phoneticPr fontId="4"/>
  </si>
  <si>
    <t>ﾌﾟﾗｽﾀｰ塗り ﾎﾞｰﾄﾞ  350</t>
    <rPh sb="6" eb="7">
      <t>ヌ</t>
    </rPh>
    <phoneticPr fontId="4"/>
  </si>
  <si>
    <r>
      <t xml:space="preserve">軸組 </t>
    </r>
    <r>
      <rPr>
        <sz val="12"/>
        <rFont val="ＭＳ 明朝"/>
        <family val="1"/>
        <charset val="128"/>
      </rPr>
      <t xml:space="preserve">           150</t>
    </r>
    <phoneticPr fontId="4"/>
  </si>
  <si>
    <t xml:space="preserve">  米松                                                    3</t>
    <rPh sb="2" eb="3">
      <t>コメ</t>
    </rPh>
    <rPh sb="3" eb="4">
      <t>マツ</t>
    </rPh>
    <phoneticPr fontId="3"/>
  </si>
  <si>
    <r>
      <t xml:space="preserve">真壁 </t>
    </r>
    <r>
      <rPr>
        <sz val="12"/>
        <rFont val="ＭＳ 明朝"/>
        <family val="1"/>
        <charset val="128"/>
      </rPr>
      <t xml:space="preserve">           850</t>
    </r>
    <phoneticPr fontId="4"/>
  </si>
  <si>
    <t xml:space="preserve">  赤松                                                   4</t>
    <rPh sb="2" eb="4">
      <t>アカマツ</t>
    </rPh>
    <phoneticPr fontId="3"/>
  </si>
  <si>
    <r>
      <t>軸組(断熱材共</t>
    </r>
    <r>
      <rPr>
        <sz val="12"/>
        <rFont val="ＭＳ 明朝"/>
        <family val="1"/>
        <charset val="128"/>
      </rPr>
      <t>)  200</t>
    </r>
    <rPh sb="0" eb="1">
      <t>ジク</t>
    </rPh>
    <rPh sb="1" eb="2">
      <t>クミ</t>
    </rPh>
    <rPh sb="3" eb="5">
      <t>ダンネツ</t>
    </rPh>
    <rPh sb="5" eb="6">
      <t>ザイ</t>
    </rPh>
    <rPh sb="6" eb="7">
      <t>トモ</t>
    </rPh>
    <phoneticPr fontId="4"/>
  </si>
  <si>
    <t xml:space="preserve">  黒松                                             5</t>
    <rPh sb="2" eb="3">
      <t>クロ</t>
    </rPh>
    <rPh sb="3" eb="4">
      <t>マツ</t>
    </rPh>
    <phoneticPr fontId="3"/>
  </si>
  <si>
    <t>居住室           1300</t>
    <phoneticPr fontId="3"/>
  </si>
  <si>
    <t xml:space="preserve">  唐松                                                 6</t>
    <rPh sb="2" eb="4">
      <t>カラマツ</t>
    </rPh>
    <phoneticPr fontId="3"/>
  </si>
  <si>
    <t>宿泊             1300</t>
    <phoneticPr fontId="4"/>
  </si>
  <si>
    <t xml:space="preserve">  ひば                                                      7</t>
    <phoneticPr fontId="3"/>
  </si>
  <si>
    <t>病室             1300</t>
    <phoneticPr fontId="4"/>
  </si>
  <si>
    <t xml:space="preserve">   栂                                              8</t>
    <rPh sb="3" eb="4">
      <t>ツガ</t>
    </rPh>
    <phoneticPr fontId="3"/>
  </si>
  <si>
    <t>事務室           1800</t>
    <phoneticPr fontId="3"/>
  </si>
  <si>
    <t xml:space="preserve">  米栂                                             9</t>
    <rPh sb="2" eb="3">
      <t>コメ</t>
    </rPh>
    <rPh sb="3" eb="4">
      <t>ツガ</t>
    </rPh>
    <phoneticPr fontId="3"/>
  </si>
  <si>
    <t>教室             2100</t>
    <phoneticPr fontId="3"/>
  </si>
  <si>
    <t xml:space="preserve">  もみ                                             10</t>
    <phoneticPr fontId="3"/>
  </si>
  <si>
    <t>百貨店           2400</t>
    <phoneticPr fontId="4"/>
  </si>
  <si>
    <t xml:space="preserve"> 蝦夷松                                           11</t>
    <rPh sb="1" eb="3">
      <t>エゾ</t>
    </rPh>
    <rPh sb="3" eb="4">
      <t>マツ</t>
    </rPh>
    <phoneticPr fontId="3"/>
  </si>
  <si>
    <t>商店の売場       2400</t>
    <rPh sb="0" eb="2">
      <t>ショウテン</t>
    </rPh>
    <rPh sb="3" eb="5">
      <t>ウリバ</t>
    </rPh>
    <phoneticPr fontId="4"/>
  </si>
  <si>
    <t xml:space="preserve"> とど松                                          12</t>
    <rPh sb="3" eb="4">
      <t>マツ</t>
    </rPh>
    <phoneticPr fontId="3"/>
  </si>
  <si>
    <t>集会室(固定席)   2700</t>
    <rPh sb="4" eb="6">
      <t>コテイ</t>
    </rPh>
    <rPh sb="6" eb="7">
      <t>セキ</t>
    </rPh>
    <phoneticPr fontId="4"/>
  </si>
  <si>
    <t xml:space="preserve">   樫                                            13</t>
    <rPh sb="3" eb="4">
      <t>カシ</t>
    </rPh>
    <phoneticPr fontId="3"/>
  </si>
  <si>
    <t>集会室(その他)   3300</t>
    <rPh sb="4" eb="7">
      <t>ソノタ</t>
    </rPh>
    <phoneticPr fontId="4"/>
  </si>
  <si>
    <t xml:space="preserve">   欅                                            14</t>
    <rPh sb="3" eb="4">
      <t>ケヤキ</t>
    </rPh>
    <phoneticPr fontId="3"/>
  </si>
  <si>
    <t>車庫             4000</t>
    <phoneticPr fontId="4"/>
  </si>
  <si>
    <t xml:space="preserve">   栗                                         15</t>
    <rPh sb="3" eb="4">
      <t>クリ</t>
    </rPh>
    <phoneticPr fontId="3"/>
  </si>
  <si>
    <t>自動車の通路     4000</t>
    <rPh sb="4" eb="6">
      <t>ツウロ</t>
    </rPh>
    <phoneticPr fontId="4"/>
  </si>
  <si>
    <t xml:space="preserve">   楢                                            16</t>
    <rPh sb="3" eb="4">
      <t>ナラ</t>
    </rPh>
    <phoneticPr fontId="3"/>
  </si>
  <si>
    <t>生野町      0.5</t>
    <rPh sb="0" eb="2">
      <t>イクノ</t>
    </rPh>
    <rPh sb="2" eb="3">
      <t>チョウ</t>
    </rPh>
    <phoneticPr fontId="4"/>
  </si>
  <si>
    <t xml:space="preserve">  ぶな                                          17</t>
    <phoneticPr fontId="3"/>
  </si>
  <si>
    <t>朝来町      0.5</t>
    <rPh sb="0" eb="2">
      <t>アサゴ</t>
    </rPh>
    <rPh sb="2" eb="3">
      <t>チョウ</t>
    </rPh>
    <phoneticPr fontId="4"/>
  </si>
  <si>
    <t>青垣町      0.5</t>
    <rPh sb="0" eb="1">
      <t>アオ</t>
    </rPh>
    <rPh sb="1" eb="2">
      <t>カキ</t>
    </rPh>
    <rPh sb="2" eb="3">
      <t>チョウ</t>
    </rPh>
    <phoneticPr fontId="4"/>
  </si>
  <si>
    <t>加美町      0.5</t>
    <rPh sb="0" eb="2">
      <t>カミ</t>
    </rPh>
    <rPh sb="2" eb="3">
      <t>チョウ</t>
    </rPh>
    <phoneticPr fontId="4"/>
  </si>
  <si>
    <t>養父町      1.0</t>
    <rPh sb="0" eb="2">
      <t>ヤブ</t>
    </rPh>
    <rPh sb="2" eb="3">
      <t>チョウ</t>
    </rPh>
    <phoneticPr fontId="4"/>
  </si>
  <si>
    <t>大屋町      1.0</t>
    <rPh sb="0" eb="2">
      <t>オオヤ</t>
    </rPh>
    <rPh sb="2" eb="3">
      <t>チョウ</t>
    </rPh>
    <phoneticPr fontId="4"/>
  </si>
  <si>
    <t>和田山町    1.0</t>
    <rPh sb="0" eb="3">
      <t>ワダヤマ</t>
    </rPh>
    <rPh sb="3" eb="4">
      <t>チョウ</t>
    </rPh>
    <phoneticPr fontId="4"/>
  </si>
  <si>
    <t>山東町      1.0</t>
    <rPh sb="0" eb="2">
      <t>サントウ</t>
    </rPh>
    <rPh sb="2" eb="3">
      <t>チョウ</t>
    </rPh>
    <phoneticPr fontId="4"/>
  </si>
  <si>
    <t>八鹿町      1.5</t>
    <rPh sb="0" eb="2">
      <t>ヨウカ</t>
    </rPh>
    <rPh sb="2" eb="3">
      <t>チョウ</t>
    </rPh>
    <phoneticPr fontId="4"/>
  </si>
  <si>
    <t>関宮町      2.0</t>
    <rPh sb="0" eb="1">
      <t>セキ</t>
    </rPh>
    <rPh sb="1" eb="2">
      <t>ミヤ</t>
    </rPh>
    <rPh sb="2" eb="3">
      <t>チョウ</t>
    </rPh>
    <phoneticPr fontId="4"/>
  </si>
  <si>
    <t>城崎町      1.5</t>
    <rPh sb="0" eb="2">
      <t>キノサキ</t>
    </rPh>
    <rPh sb="2" eb="3">
      <t>チョウ</t>
    </rPh>
    <phoneticPr fontId="4"/>
  </si>
  <si>
    <t>竹野町      1.5</t>
    <rPh sb="0" eb="2">
      <t>タケノ</t>
    </rPh>
    <rPh sb="2" eb="3">
      <t>チョウ</t>
    </rPh>
    <phoneticPr fontId="4"/>
  </si>
  <si>
    <t>香住町      1.5</t>
    <rPh sb="0" eb="2">
      <t>カスミ</t>
    </rPh>
    <rPh sb="2" eb="3">
      <t>チョウ</t>
    </rPh>
    <phoneticPr fontId="4"/>
  </si>
  <si>
    <t>日高町      1.5</t>
    <rPh sb="0" eb="1">
      <t>ヒ</t>
    </rPh>
    <rPh sb="1" eb="2">
      <t>タカ</t>
    </rPh>
    <rPh sb="2" eb="3">
      <t>チョウ</t>
    </rPh>
    <phoneticPr fontId="4"/>
  </si>
  <si>
    <t>日高町大岡  2.0</t>
    <rPh sb="0" eb="1">
      <t>ヒ</t>
    </rPh>
    <rPh sb="1" eb="2">
      <t>タカ</t>
    </rPh>
    <rPh sb="2" eb="3">
      <t>チョウ</t>
    </rPh>
    <rPh sb="3" eb="4">
      <t>ダイ</t>
    </rPh>
    <rPh sb="4" eb="5">
      <t>オカ</t>
    </rPh>
    <phoneticPr fontId="4"/>
  </si>
  <si>
    <t>出石町      1.5</t>
    <rPh sb="0" eb="2">
      <t>イズシ</t>
    </rPh>
    <rPh sb="2" eb="3">
      <t>チョウ</t>
    </rPh>
    <phoneticPr fontId="4"/>
  </si>
  <si>
    <t>但東町      1.5</t>
    <rPh sb="0" eb="2">
      <t>タントウ</t>
    </rPh>
    <rPh sb="2" eb="3">
      <t>チョウ</t>
    </rPh>
    <phoneticPr fontId="4"/>
  </si>
  <si>
    <t>浜坂町      1.5</t>
    <rPh sb="0" eb="2">
      <t>ハマサカ</t>
    </rPh>
    <rPh sb="2" eb="3">
      <t>チョウ</t>
    </rPh>
    <phoneticPr fontId="4"/>
  </si>
  <si>
    <t>温泉町      1.5</t>
    <rPh sb="0" eb="2">
      <t>オンセン</t>
    </rPh>
    <rPh sb="2" eb="3">
      <t>チョウ</t>
    </rPh>
    <phoneticPr fontId="4"/>
  </si>
  <si>
    <t>温泉町      2.0</t>
    <rPh sb="0" eb="2">
      <t>オンセン</t>
    </rPh>
    <rPh sb="2" eb="3">
      <t>チョウ</t>
    </rPh>
    <phoneticPr fontId="4"/>
  </si>
  <si>
    <t>村岡町      2.0</t>
    <rPh sb="0" eb="2">
      <t>ムラオカ</t>
    </rPh>
    <rPh sb="2" eb="3">
      <t>チョウ</t>
    </rPh>
    <phoneticPr fontId="4"/>
  </si>
  <si>
    <t>美方町      2.0</t>
    <rPh sb="0" eb="2">
      <t>ミカタ</t>
    </rPh>
    <rPh sb="2" eb="3">
      <t>チョウ</t>
    </rPh>
    <phoneticPr fontId="4"/>
  </si>
  <si>
    <r>
      <t xml:space="preserve">   </t>
    </r>
    <r>
      <rPr>
        <sz val="12"/>
        <rFont val="ＭＳ 明朝"/>
        <family val="1"/>
        <charset val="128"/>
      </rPr>
      <t xml:space="preserve">片持 </t>
    </r>
    <r>
      <rPr>
        <sz val="12"/>
        <rFont val="ＭＳ 明朝"/>
        <family val="1"/>
        <charset val="128"/>
      </rPr>
      <t xml:space="preserve">                       1</t>
    </r>
    <phoneticPr fontId="3"/>
  </si>
  <si>
    <r>
      <t xml:space="preserve">   </t>
    </r>
    <r>
      <rPr>
        <sz val="12"/>
        <rFont val="ＭＳ 明朝"/>
        <family val="1"/>
        <charset val="128"/>
      </rPr>
      <t xml:space="preserve">中間 </t>
    </r>
    <r>
      <rPr>
        <sz val="12"/>
        <rFont val="ＭＳ 明朝"/>
        <family val="1"/>
        <charset val="128"/>
      </rPr>
      <t xml:space="preserve">                       2</t>
    </r>
    <phoneticPr fontId="3"/>
  </si>
  <si>
    <t>1                     7</t>
    <phoneticPr fontId="3"/>
  </si>
  <si>
    <t>充腹</t>
    <rPh sb="0" eb="1">
      <t>ミツル</t>
    </rPh>
    <rPh sb="1" eb="2">
      <t>ハラ</t>
    </rPh>
    <phoneticPr fontId="3"/>
  </si>
  <si>
    <t>3                    1</t>
    <phoneticPr fontId="3"/>
  </si>
  <si>
    <t>梁材種</t>
    <rPh sb="0" eb="1">
      <t>ハリ</t>
    </rPh>
    <rPh sb="1" eb="3">
      <t>ザイシュ</t>
    </rPh>
    <phoneticPr fontId="3"/>
  </si>
  <si>
    <t>5               2</t>
    <phoneticPr fontId="3"/>
  </si>
  <si>
    <t>7               3</t>
    <phoneticPr fontId="3"/>
  </si>
  <si>
    <t>重ね</t>
    <rPh sb="0" eb="1">
      <t>カサ</t>
    </rPh>
    <phoneticPr fontId="3"/>
  </si>
  <si>
    <t>9             4</t>
    <phoneticPr fontId="3"/>
  </si>
  <si>
    <t>11                     5</t>
    <phoneticPr fontId="3"/>
  </si>
  <si>
    <t>13                    6</t>
    <phoneticPr fontId="3"/>
  </si>
  <si>
    <t>層の種類</t>
    <rPh sb="0" eb="1">
      <t>ソウ</t>
    </rPh>
    <rPh sb="2" eb="4">
      <t>シュルイ</t>
    </rPh>
    <phoneticPr fontId="3"/>
  </si>
  <si>
    <t xml:space="preserve">   3層                   2</t>
    <rPh sb="4" eb="5">
      <t>ソウ</t>
    </rPh>
    <phoneticPr fontId="3"/>
  </si>
  <si>
    <t>層の数</t>
    <rPh sb="0" eb="1">
      <t>ソウ</t>
    </rPh>
    <rPh sb="2" eb="3">
      <t>スウ</t>
    </rPh>
    <phoneticPr fontId="3"/>
  </si>
  <si>
    <t>Jeの係数</t>
    <rPh sb="3" eb="5">
      <t>ケイスウ</t>
    </rPh>
    <phoneticPr fontId="3"/>
  </si>
  <si>
    <t>Zeの係数</t>
    <rPh sb="3" eb="5">
      <t>ケイスウ</t>
    </rPh>
    <phoneticPr fontId="3"/>
  </si>
  <si>
    <t>合せ梁</t>
    <rPh sb="0" eb="1">
      <t>ア</t>
    </rPh>
    <rPh sb="2" eb="3">
      <t>ハリ</t>
    </rPh>
    <phoneticPr fontId="3"/>
  </si>
  <si>
    <t>上弦材は圧縮、下弦材は引張、で中央に近いぼど大</t>
    <rPh sb="0" eb="1">
      <t>ウエ</t>
    </rPh>
    <rPh sb="1" eb="2">
      <t>ゲン</t>
    </rPh>
    <rPh sb="2" eb="3">
      <t>ザイ</t>
    </rPh>
    <rPh sb="4" eb="6">
      <t>アッシュク</t>
    </rPh>
    <rPh sb="7" eb="8">
      <t>シタ</t>
    </rPh>
    <rPh sb="8" eb="9">
      <t>ゲン</t>
    </rPh>
    <rPh sb="9" eb="10">
      <t>ザイ</t>
    </rPh>
    <rPh sb="11" eb="12">
      <t>ヒ</t>
    </rPh>
    <rPh sb="12" eb="13">
      <t>ハ</t>
    </rPh>
    <rPh sb="15" eb="17">
      <t>チュウオウ</t>
    </rPh>
    <rPh sb="18" eb="19">
      <t>チカ</t>
    </rPh>
    <rPh sb="22" eb="23">
      <t>ダイ</t>
    </rPh>
    <phoneticPr fontId="3"/>
  </si>
  <si>
    <t>斜材、束材は端部が大きい</t>
    <rPh sb="0" eb="1">
      <t>シャ</t>
    </rPh>
    <rPh sb="1" eb="2">
      <t>ザイ</t>
    </rPh>
    <rPh sb="3" eb="4">
      <t>ツカ</t>
    </rPh>
    <rPh sb="4" eb="5">
      <t>ザイ</t>
    </rPh>
    <rPh sb="6" eb="7">
      <t>ハシ</t>
    </rPh>
    <rPh sb="7" eb="8">
      <t>ブ</t>
    </rPh>
    <rPh sb="9" eb="10">
      <t>ダイ</t>
    </rPh>
    <phoneticPr fontId="3"/>
  </si>
  <si>
    <t>MAX</t>
    <phoneticPr fontId="3"/>
  </si>
  <si>
    <t>C1</t>
    <phoneticPr fontId="3"/>
  </si>
  <si>
    <t>C2</t>
    <phoneticPr fontId="3"/>
  </si>
  <si>
    <t>C3</t>
    <phoneticPr fontId="3"/>
  </si>
  <si>
    <t>C4</t>
  </si>
  <si>
    <t>C5</t>
  </si>
  <si>
    <t>C6</t>
  </si>
  <si>
    <t>C7</t>
  </si>
  <si>
    <t>ﾊｳﾄﾗｽ上</t>
    <rPh sb="5" eb="6">
      <t>ウエ</t>
    </rPh>
    <phoneticPr fontId="3"/>
  </si>
  <si>
    <t>ﾜｰﾚﾝ上</t>
    <rPh sb="4" eb="5">
      <t>ウエ</t>
    </rPh>
    <phoneticPr fontId="3"/>
  </si>
  <si>
    <t>ﾊｳﾄﾗｽ下</t>
    <rPh sb="5" eb="6">
      <t>シタ</t>
    </rPh>
    <phoneticPr fontId="3"/>
  </si>
  <si>
    <t>ﾜｰﾚﾝ下</t>
    <rPh sb="4" eb="5">
      <t>シタ</t>
    </rPh>
    <phoneticPr fontId="3"/>
  </si>
  <si>
    <t>×W*a/h</t>
    <phoneticPr fontId="3"/>
  </si>
  <si>
    <t>×W*a/h</t>
    <phoneticPr fontId="3"/>
  </si>
  <si>
    <t>×W*a/h</t>
    <phoneticPr fontId="3"/>
  </si>
  <si>
    <t>×W*a/h</t>
    <phoneticPr fontId="3"/>
  </si>
  <si>
    <t>D1</t>
    <phoneticPr fontId="3"/>
  </si>
  <si>
    <t>D2</t>
    <phoneticPr fontId="3"/>
  </si>
  <si>
    <t>D3</t>
    <phoneticPr fontId="3"/>
  </si>
  <si>
    <t>D4</t>
  </si>
  <si>
    <t>D5</t>
  </si>
  <si>
    <t>D6</t>
  </si>
  <si>
    <t>D7</t>
  </si>
  <si>
    <t>MAX</t>
    <phoneticPr fontId="3"/>
  </si>
  <si>
    <t>×W/sinα</t>
    <phoneticPr fontId="3"/>
  </si>
  <si>
    <t>×W/sinα</t>
    <phoneticPr fontId="3"/>
  </si>
  <si>
    <t>S1</t>
    <phoneticPr fontId="3"/>
  </si>
  <si>
    <t>S2</t>
    <phoneticPr fontId="3"/>
  </si>
  <si>
    <t>S3</t>
    <phoneticPr fontId="3"/>
  </si>
  <si>
    <t>S4</t>
  </si>
  <si>
    <t>S5</t>
  </si>
  <si>
    <t>S6</t>
  </si>
  <si>
    <t>S7</t>
    <phoneticPr fontId="3"/>
  </si>
  <si>
    <t>MAX</t>
    <phoneticPr fontId="3"/>
  </si>
  <si>
    <t>×W</t>
    <phoneticPr fontId="3"/>
  </si>
  <si>
    <t>SE</t>
    <phoneticPr fontId="3"/>
  </si>
  <si>
    <t>SR</t>
    <phoneticPr fontId="3"/>
  </si>
  <si>
    <t>SC</t>
    <phoneticPr fontId="3"/>
  </si>
  <si>
    <t>屋根勾配/1.0</t>
    <rPh sb="0" eb="2">
      <t>ヤネ</t>
    </rPh>
    <rPh sb="2" eb="4">
      <t>コウバイ</t>
    </rPh>
    <phoneticPr fontId="3"/>
  </si>
  <si>
    <t>No22</t>
    <phoneticPr fontId="3"/>
  </si>
  <si>
    <t>No23</t>
    <phoneticPr fontId="3"/>
  </si>
  <si>
    <t>No24</t>
    <phoneticPr fontId="3"/>
  </si>
  <si>
    <t>No25</t>
    <phoneticPr fontId="3"/>
  </si>
  <si>
    <t>No26</t>
    <phoneticPr fontId="3"/>
  </si>
  <si>
    <t>A</t>
    <phoneticPr fontId="3"/>
  </si>
  <si>
    <t>B</t>
    <phoneticPr fontId="3"/>
  </si>
  <si>
    <t>C</t>
    <phoneticPr fontId="3"/>
  </si>
  <si>
    <t>D</t>
    <phoneticPr fontId="3"/>
  </si>
  <si>
    <t>E</t>
    <phoneticPr fontId="3"/>
  </si>
  <si>
    <t>F</t>
    <phoneticPr fontId="3"/>
  </si>
  <si>
    <t>A</t>
    <phoneticPr fontId="3"/>
  </si>
  <si>
    <t>B</t>
    <phoneticPr fontId="3"/>
  </si>
  <si>
    <t>C</t>
    <phoneticPr fontId="3"/>
  </si>
  <si>
    <t>小屋梁</t>
    <rPh sb="0" eb="2">
      <t>コヤ</t>
    </rPh>
    <rPh sb="2" eb="3">
      <t>ハリ</t>
    </rPh>
    <phoneticPr fontId="3"/>
  </si>
  <si>
    <t>軒桁</t>
    <rPh sb="0" eb="1">
      <t>ノキ</t>
    </rPh>
    <rPh sb="1" eb="2">
      <t>ケタ</t>
    </rPh>
    <phoneticPr fontId="3"/>
  </si>
  <si>
    <t>ｽﾊﾟﾝ長</t>
    <rPh sb="4" eb="5">
      <t>ナガ</t>
    </rPh>
    <phoneticPr fontId="3"/>
  </si>
  <si>
    <t>1)成(h)cm</t>
    <rPh sb="2" eb="3">
      <t>ナ</t>
    </rPh>
    <phoneticPr fontId="3"/>
  </si>
  <si>
    <t>2)成(h)cm</t>
    <rPh sb="2" eb="3">
      <t>ナ</t>
    </rPh>
    <phoneticPr fontId="3"/>
  </si>
  <si>
    <t>3)成(h)cm</t>
    <rPh sb="2" eb="3">
      <t>ナ</t>
    </rPh>
    <phoneticPr fontId="3"/>
  </si>
  <si>
    <t>曲げ応力</t>
    <rPh sb="0" eb="1">
      <t>マ</t>
    </rPh>
    <rPh sb="2" eb="4">
      <t>オウリョク</t>
    </rPh>
    <phoneticPr fontId="3"/>
  </si>
  <si>
    <t>δ</t>
    <phoneticPr fontId="4"/>
  </si>
  <si>
    <t>たわみ</t>
    <phoneticPr fontId="4"/>
  </si>
  <si>
    <t>G</t>
    <phoneticPr fontId="3"/>
  </si>
  <si>
    <t>H</t>
    <phoneticPr fontId="3"/>
  </si>
  <si>
    <t>I</t>
    <phoneticPr fontId="3"/>
  </si>
  <si>
    <t>J</t>
    <phoneticPr fontId="3"/>
  </si>
  <si>
    <t>床梁、胴差(集中荷重1ヶ所)</t>
    <rPh sb="0" eb="1">
      <t>ユカ</t>
    </rPh>
    <rPh sb="1" eb="2">
      <t>ハリ</t>
    </rPh>
    <rPh sb="3" eb="4">
      <t>ドウ</t>
    </rPh>
    <rPh sb="4" eb="5">
      <t>サシ</t>
    </rPh>
    <rPh sb="6" eb="8">
      <t>シュウチュウ</t>
    </rPh>
    <rPh sb="8" eb="10">
      <t>カジュウ</t>
    </rPh>
    <rPh sb="12" eb="13">
      <t>ショ</t>
    </rPh>
    <phoneticPr fontId="3"/>
  </si>
  <si>
    <t>軒桁、螻羽(集中荷重1ヶ所)</t>
    <rPh sb="0" eb="1">
      <t>ノキ</t>
    </rPh>
    <rPh sb="1" eb="2">
      <t>ケタ</t>
    </rPh>
    <rPh sb="3" eb="5">
      <t>ケラバ</t>
    </rPh>
    <rPh sb="6" eb="8">
      <t>シュウチュウ</t>
    </rPh>
    <rPh sb="8" eb="10">
      <t>カジュウ</t>
    </rPh>
    <rPh sb="12" eb="13">
      <t>ショ</t>
    </rPh>
    <phoneticPr fontId="3"/>
  </si>
  <si>
    <t>床梁、胴差(集中荷重2ヶ所)</t>
    <rPh sb="0" eb="1">
      <t>ユカ</t>
    </rPh>
    <rPh sb="1" eb="2">
      <t>ハリ</t>
    </rPh>
    <rPh sb="3" eb="4">
      <t>ドウ</t>
    </rPh>
    <rPh sb="4" eb="5">
      <t>サシ</t>
    </rPh>
    <rPh sb="6" eb="8">
      <t>シュウチュウ</t>
    </rPh>
    <rPh sb="8" eb="10">
      <t>カジュウ</t>
    </rPh>
    <rPh sb="12" eb="13">
      <t>ショ</t>
    </rPh>
    <phoneticPr fontId="3"/>
  </si>
  <si>
    <t>軒桁、螻羽(集中荷重2ヶ所)</t>
    <rPh sb="0" eb="2">
      <t>ノキゲタ</t>
    </rPh>
    <rPh sb="3" eb="5">
      <t>ケラバ</t>
    </rPh>
    <rPh sb="6" eb="8">
      <t>シュウチュウ</t>
    </rPh>
    <rPh sb="8" eb="10">
      <t>カジュウ</t>
    </rPh>
    <rPh sb="12" eb="13">
      <t>ショ</t>
    </rPh>
    <phoneticPr fontId="3"/>
  </si>
  <si>
    <t>断面算定、断面算定2、断面算定3</t>
    <rPh sb="0" eb="2">
      <t>ダンメン</t>
    </rPh>
    <rPh sb="2" eb="4">
      <t>サンテイ</t>
    </rPh>
    <rPh sb="5" eb="7">
      <t>ダンメン</t>
    </rPh>
    <rPh sb="7" eb="9">
      <t>サンテイ</t>
    </rPh>
    <rPh sb="11" eb="13">
      <t>ダンメン</t>
    </rPh>
    <rPh sb="13" eb="15">
      <t>サンテイ</t>
    </rPh>
    <phoneticPr fontId="3"/>
  </si>
  <si>
    <t>上記それぞれの必要な「シート」を計算</t>
    <rPh sb="0" eb="1">
      <t>ジョウ</t>
    </rPh>
    <rPh sb="1" eb="2">
      <t>キ</t>
    </rPh>
    <rPh sb="7" eb="9">
      <t>ヒツヨウ</t>
    </rPh>
    <rPh sb="16" eb="18">
      <t>ケイサン</t>
    </rPh>
    <phoneticPr fontId="3"/>
  </si>
  <si>
    <t>した後、使用する。</t>
    <rPh sb="2" eb="3">
      <t>ノチ</t>
    </rPh>
    <rPh sb="4" eb="6">
      <t>シヨウ</t>
    </rPh>
    <phoneticPr fontId="3"/>
  </si>
  <si>
    <t>特記</t>
    <rPh sb="0" eb="2">
      <t>トッキ</t>
    </rPh>
    <phoneticPr fontId="3"/>
  </si>
  <si>
    <t>建物用途</t>
    <rPh sb="0" eb="2">
      <t>タテモノ</t>
    </rPh>
    <rPh sb="2" eb="4">
      <t>ヨウト</t>
    </rPh>
    <phoneticPr fontId="3"/>
  </si>
  <si>
    <t>(２階建の場合必要)</t>
    <rPh sb="2" eb="3">
      <t>カイ</t>
    </rPh>
    <rPh sb="3" eb="4">
      <t>タ</t>
    </rPh>
    <rPh sb="5" eb="7">
      <t>バアイ</t>
    </rPh>
    <rPh sb="7" eb="9">
      <t>ヒツヨウ</t>
    </rPh>
    <phoneticPr fontId="3"/>
  </si>
  <si>
    <t>波賀町戸倉　　　　　　　　　　1.5</t>
    <rPh sb="0" eb="3">
      <t>ハガチョウ</t>
    </rPh>
    <rPh sb="3" eb="5">
      <t>トクラ</t>
    </rPh>
    <phoneticPr fontId="3"/>
  </si>
  <si>
    <t>波賀町道谷　　　　　　　　　　1.5</t>
    <rPh sb="0" eb="3">
      <t>ハガチョウ</t>
    </rPh>
    <rPh sb="3" eb="4">
      <t>ミチ</t>
    </rPh>
    <rPh sb="4" eb="5">
      <t>タニ</t>
    </rPh>
    <phoneticPr fontId="3"/>
  </si>
  <si>
    <t>波賀町飯見　　　　　　　　　1.0</t>
    <rPh sb="0" eb="2">
      <t>ハガ</t>
    </rPh>
    <rPh sb="2" eb="3">
      <t>チョウ</t>
    </rPh>
    <rPh sb="3" eb="5">
      <t>イイミ</t>
    </rPh>
    <phoneticPr fontId="3"/>
  </si>
  <si>
    <t>波賀町野尻　　　　　　　　　1.0</t>
    <rPh sb="0" eb="3">
      <t>ハガチョウ</t>
    </rPh>
    <rPh sb="3" eb="4">
      <t>ノ</t>
    </rPh>
    <rPh sb="4" eb="5">
      <t>シリ</t>
    </rPh>
    <phoneticPr fontId="3"/>
  </si>
  <si>
    <t>波賀町原有賀　　　　　　　　　　1.0</t>
    <rPh sb="0" eb="3">
      <t>ハガチョウ</t>
    </rPh>
    <rPh sb="3" eb="4">
      <t>ハラ</t>
    </rPh>
    <rPh sb="4" eb="5">
      <t>アリ</t>
    </rPh>
    <rPh sb="5" eb="6">
      <t>ガ</t>
    </rPh>
    <phoneticPr fontId="3"/>
  </si>
  <si>
    <t>波賀町原　　　　　　　　　　1.0</t>
    <rPh sb="0" eb="3">
      <t>ハガチョウ</t>
    </rPh>
    <rPh sb="3" eb="4">
      <t>ハラ</t>
    </rPh>
    <phoneticPr fontId="3"/>
  </si>
  <si>
    <t>波賀町日の原　　　　　　　　1.0</t>
    <rPh sb="0" eb="2">
      <t>ハガ</t>
    </rPh>
    <rPh sb="2" eb="3">
      <t>チョウ</t>
    </rPh>
    <rPh sb="3" eb="4">
      <t>ヒ</t>
    </rPh>
    <rPh sb="5" eb="6">
      <t>ハラ</t>
    </rPh>
    <phoneticPr fontId="3"/>
  </si>
  <si>
    <t>波賀町音水　　　　　　　　　1.0</t>
    <rPh sb="0" eb="2">
      <t>ハガ</t>
    </rPh>
    <rPh sb="2" eb="3">
      <t>チョウ</t>
    </rPh>
    <rPh sb="3" eb="4">
      <t>オト</t>
    </rPh>
    <rPh sb="4" eb="5">
      <t>ミズ</t>
    </rPh>
    <phoneticPr fontId="3"/>
  </si>
  <si>
    <t>波賀町引原　　　　　　　　　　　1.0</t>
    <rPh sb="0" eb="2">
      <t>ハガ</t>
    </rPh>
    <rPh sb="2" eb="3">
      <t>チョウ</t>
    </rPh>
    <rPh sb="3" eb="4">
      <t>ヒ</t>
    </rPh>
    <rPh sb="4" eb="5">
      <t>ハラ</t>
    </rPh>
    <phoneticPr fontId="3"/>
  </si>
  <si>
    <t>波賀町鹿伏　　　　　　　　　1.0</t>
    <rPh sb="0" eb="3">
      <t>ハガチョウ</t>
    </rPh>
    <rPh sb="3" eb="4">
      <t>シカ</t>
    </rPh>
    <rPh sb="4" eb="5">
      <t>フ</t>
    </rPh>
    <phoneticPr fontId="3"/>
  </si>
  <si>
    <t>千種町河内　　　　　　　　　　　1.0</t>
    <rPh sb="0" eb="2">
      <t>チグサ</t>
    </rPh>
    <rPh sb="2" eb="3">
      <t>チョウ</t>
    </rPh>
    <rPh sb="3" eb="5">
      <t>カワチ</t>
    </rPh>
    <phoneticPr fontId="3"/>
  </si>
  <si>
    <t>千種町西河内　　　　　　　　　　　1.0</t>
    <rPh sb="0" eb="2">
      <t>チグサ</t>
    </rPh>
    <rPh sb="2" eb="3">
      <t>チョウ</t>
    </rPh>
    <rPh sb="3" eb="4">
      <t>ニシ</t>
    </rPh>
    <rPh sb="4" eb="6">
      <t>カワチ</t>
    </rPh>
    <phoneticPr fontId="3"/>
  </si>
  <si>
    <t>兵庫県内                        0.3</t>
    <rPh sb="0" eb="3">
      <t>ヒョウゴケン</t>
    </rPh>
    <rPh sb="3" eb="4">
      <t>ナイ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</si>
</sst>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0.0"/>
    <numFmt numFmtId="178" formatCode="0.000"/>
    <numFmt numFmtId="179" formatCode="#,##0_);[Red]\(#,##0\)"/>
    <numFmt numFmtId="180" formatCode="#,##0.0_ "/>
    <numFmt numFmtId="181" formatCode="0.0000"/>
    <numFmt numFmtId="182" formatCode="#,##0.000"/>
    <numFmt numFmtId="183" formatCode="#,##0_ "/>
    <numFmt numFmtId="184" formatCode="#,##0.00_ "/>
    <numFmt numFmtId="185" formatCode="#,##0.00_);[Red]\(#,##0.00\)"/>
    <numFmt numFmtId="186" formatCode="#,##0.0_);[Red]\(#,##0.0\)"/>
  </numFmts>
  <fonts count="33" x14ac:knownFonts="1">
    <font>
      <sz val="12"/>
      <name val="ＭＳ 明朝"/>
      <family val="1"/>
      <charset val="128"/>
    </font>
    <font>
      <sz val="12"/>
      <name val="ＭＳ 明朝"/>
      <family val="1"/>
      <charset val="128"/>
    </font>
    <font>
      <b/>
      <sz val="12"/>
      <name val="ＭＳ 明朝"/>
      <family val="1"/>
      <charset val="128"/>
    </font>
    <font>
      <sz val="6"/>
      <name val="ＭＳ 明朝"/>
      <family val="1"/>
      <charset val="128"/>
    </font>
    <font>
      <sz val="6"/>
      <name val="ＭＳ Ｐ明朝"/>
      <family val="1"/>
      <charset val="128"/>
    </font>
    <font>
      <vertAlign val="superscript"/>
      <sz val="10"/>
      <name val="ＭＳ 明朝"/>
      <family val="1"/>
      <charset val="128"/>
    </font>
    <font>
      <sz val="12"/>
      <color indexed="9"/>
      <name val="ＭＳ 明朝"/>
      <family val="1"/>
      <charset val="128"/>
    </font>
    <font>
      <b/>
      <sz val="12"/>
      <name val="ＭＳ Ｐ明朝"/>
      <family val="1"/>
      <charset val="128"/>
    </font>
    <font>
      <sz val="12"/>
      <color indexed="12"/>
      <name val="ＭＳ 明朝"/>
      <family val="1"/>
      <charset val="128"/>
    </font>
    <font>
      <sz val="12"/>
      <color indexed="10"/>
      <name val="ＭＳ 明朝"/>
      <family val="1"/>
      <charset val="128"/>
    </font>
    <font>
      <sz val="10"/>
      <name val="ＭＳ 明朝"/>
      <family val="1"/>
      <charset val="128"/>
    </font>
    <font>
      <sz val="11"/>
      <name val="ＭＳ Ｐゴシック"/>
      <family val="3"/>
      <charset val="128"/>
    </font>
    <font>
      <sz val="10"/>
      <color indexed="10"/>
      <name val="ＭＳ 明朝"/>
      <family val="1"/>
      <charset val="128"/>
    </font>
    <font>
      <u/>
      <sz val="10"/>
      <name val="ＭＳ 明朝"/>
      <family val="1"/>
      <charset val="128"/>
    </font>
    <font>
      <sz val="9"/>
      <color indexed="81"/>
      <name val="ＭＳ Ｐゴシック"/>
      <family val="3"/>
      <charset val="128"/>
    </font>
    <font>
      <b/>
      <sz val="9"/>
      <color indexed="81"/>
      <name val="ＭＳ Ｐゴシック"/>
      <family val="3"/>
      <charset val="128"/>
    </font>
    <font>
      <sz val="11"/>
      <color indexed="81"/>
      <name val="ＭＳ Ｐゴシック"/>
      <family val="3"/>
      <charset val="128"/>
    </font>
    <font>
      <sz val="14"/>
      <name val="ＭＳ 明朝"/>
      <family val="1"/>
      <charset val="128"/>
    </font>
    <font>
      <b/>
      <sz val="28"/>
      <name val="ＭＳ 明朝"/>
      <family val="1"/>
      <charset val="128"/>
    </font>
    <font>
      <sz val="12"/>
      <color indexed="81"/>
      <name val="ＭＳ Ｐゴシック"/>
      <family val="3"/>
      <charset val="128"/>
    </font>
    <font>
      <sz val="9"/>
      <name val="ＭＳ 明朝"/>
      <family val="1"/>
      <charset val="128"/>
    </font>
    <font>
      <sz val="12"/>
      <color indexed="27"/>
      <name val="ＭＳ 明朝"/>
      <family val="1"/>
      <charset val="128"/>
    </font>
    <font>
      <sz val="12"/>
      <name val="ＭＳ 明朝"/>
      <family val="1"/>
      <charset val="128"/>
    </font>
    <font>
      <sz val="6"/>
      <name val="ＭＳ 明朝"/>
      <family val="2"/>
      <charset val="128"/>
    </font>
    <font>
      <vertAlign val="superscript"/>
      <sz val="11"/>
      <color theme="1"/>
      <name val="ＭＳ 明朝"/>
      <family val="1"/>
      <charset val="128"/>
    </font>
    <font>
      <b/>
      <sz val="12"/>
      <color rgb="FFFF0000"/>
      <name val="ＭＳ 明朝"/>
      <family val="1"/>
      <charset val="128"/>
    </font>
    <font>
      <sz val="8"/>
      <name val="ＭＳ 明朝"/>
      <family val="1"/>
      <charset val="128"/>
    </font>
    <font>
      <b/>
      <sz val="18"/>
      <name val="ＭＳ 明朝"/>
      <family val="1"/>
      <charset val="128"/>
    </font>
    <font>
      <b/>
      <sz val="16"/>
      <name val="ＭＳ 明朝"/>
      <family val="1"/>
      <charset val="128"/>
    </font>
    <font>
      <sz val="28"/>
      <name val="ＭＳ 明朝"/>
      <family val="1"/>
      <charset val="128"/>
    </font>
    <font>
      <vertAlign val="superscript"/>
      <sz val="11"/>
      <name val="ＭＳ 明朝"/>
      <family val="1"/>
      <charset val="128"/>
    </font>
    <font>
      <sz val="11"/>
      <name val="ＭＳ 明朝"/>
      <family val="1"/>
      <charset val="128"/>
    </font>
    <font>
      <sz val="12"/>
      <color rgb="FFFF0000"/>
      <name val="ＭＳ 明朝"/>
      <family val="1"/>
      <charset val="128"/>
    </font>
  </fonts>
  <fills count="17">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theme="8" tint="0.79998168889431442"/>
        <bgColor rgb="FF66FF66"/>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6" tint="0.79998168889431442"/>
        <bgColor indexed="64"/>
      </patternFill>
    </fill>
    <fill>
      <patternFill patternType="solid">
        <fgColor rgb="FFC0E399"/>
        <bgColor indexed="64"/>
      </patternFill>
    </fill>
    <fill>
      <patternFill patternType="solid">
        <fgColor theme="5" tint="0.79998168889431442"/>
        <bgColor indexed="64"/>
      </patternFill>
    </fill>
    <fill>
      <patternFill patternType="solid">
        <fgColor indexed="47"/>
        <bgColor indexed="64"/>
      </patternFill>
    </fill>
    <fill>
      <patternFill patternType="solid">
        <fgColor indexed="31"/>
        <bgColor indexed="64"/>
      </patternFill>
    </fill>
    <fill>
      <patternFill patternType="solid">
        <fgColor indexed="27"/>
        <bgColor indexed="64"/>
      </patternFill>
    </fill>
    <fill>
      <patternFill patternType="solid">
        <fgColor rgb="FFFFFF66"/>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top style="thin">
        <color indexed="64"/>
      </top>
      <bottom style="hair">
        <color indexed="64"/>
      </bottom>
      <diagonal/>
    </border>
    <border diagonalDown="1">
      <left/>
      <right/>
      <top/>
      <bottom/>
      <diagonal style="thin">
        <color indexed="64"/>
      </diagonal>
    </border>
    <border diagonalUp="1">
      <left/>
      <right/>
      <top/>
      <bottom/>
      <diagonal style="dashed">
        <color indexed="64"/>
      </diagonal>
    </border>
    <border>
      <left style="thin">
        <color auto="1"/>
      </left>
      <right style="thin">
        <color auto="1"/>
      </right>
      <top style="thin">
        <color auto="1"/>
      </top>
      <bottom style="thin">
        <color auto="1"/>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top style="thin">
        <color indexed="64"/>
      </top>
      <bottom style="medium">
        <color indexed="64"/>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top style="thin">
        <color auto="1"/>
      </top>
      <bottom style="thin">
        <color auto="1"/>
      </bottom>
      <diagonal/>
    </border>
    <border>
      <left/>
      <right/>
      <top style="thin">
        <color indexed="64"/>
      </top>
      <bottom style="hair">
        <color indexed="64"/>
      </bottom>
      <diagonal/>
    </border>
    <border>
      <left/>
      <right/>
      <top style="hair">
        <color indexed="64"/>
      </top>
      <bottom style="thin">
        <color indexed="64"/>
      </bottom>
      <diagonal/>
    </border>
    <border>
      <left/>
      <right/>
      <top/>
      <bottom style="hair">
        <color indexed="64"/>
      </bottom>
      <diagonal/>
    </border>
    <border>
      <left style="thin">
        <color auto="1"/>
      </left>
      <right style="thin">
        <color auto="1"/>
      </right>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style="medium">
        <color indexed="64"/>
      </left>
      <right/>
      <top/>
      <bottom style="thin">
        <color indexed="64"/>
      </bottom>
      <diagonal/>
    </border>
    <border diagonalUp="1">
      <left/>
      <right/>
      <top/>
      <bottom/>
      <diagonal style="thin">
        <color auto="1"/>
      </diagonal>
    </border>
    <border diagonalUp="1">
      <left/>
      <right/>
      <top/>
      <bottom/>
      <diagonal style="medium">
        <color auto="1"/>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style="thin">
        <color indexed="64"/>
      </left>
      <right style="thin">
        <color auto="1"/>
      </right>
      <top style="hair">
        <color indexed="64"/>
      </top>
      <bottom/>
      <diagonal/>
    </border>
    <border>
      <left style="medium">
        <color indexed="64"/>
      </left>
      <right style="medium">
        <color indexed="64"/>
      </right>
      <top style="medium">
        <color auto="1"/>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751">
    <xf numFmtId="0" fontId="0" fillId="0" borderId="0" xfId="0">
      <alignment vertical="center"/>
    </xf>
    <xf numFmtId="0" fontId="0" fillId="0" borderId="0" xfId="0" applyFill="1" applyBorder="1" applyAlignment="1" applyProtection="1">
      <alignment horizontal="left"/>
      <protection hidden="1"/>
    </xf>
    <xf numFmtId="0" fontId="0" fillId="0" borderId="0" xfId="0" applyBorder="1" applyProtection="1">
      <alignment vertical="center"/>
      <protection hidden="1"/>
    </xf>
    <xf numFmtId="0" fontId="0" fillId="0" borderId="0" xfId="0" applyProtection="1">
      <alignment vertical="center"/>
      <protection hidden="1"/>
    </xf>
    <xf numFmtId="0" fontId="0" fillId="0" borderId="1" xfId="0" applyFill="1" applyBorder="1" applyProtection="1">
      <alignment vertical="center"/>
      <protection hidden="1"/>
    </xf>
    <xf numFmtId="0" fontId="0" fillId="0" borderId="1" xfId="0" applyFill="1" applyBorder="1" applyAlignment="1" applyProtection="1">
      <alignment horizontal="center"/>
      <protection hidden="1"/>
    </xf>
    <xf numFmtId="0" fontId="0" fillId="0" borderId="1" xfId="0" applyFill="1" applyBorder="1" applyAlignment="1" applyProtection="1">
      <alignment horizontal="right"/>
      <protection hidden="1"/>
    </xf>
    <xf numFmtId="0" fontId="0" fillId="0" borderId="0" xfId="0" applyFill="1" applyBorder="1" applyAlignment="1" applyProtection="1">
      <alignment horizontal="center"/>
      <protection hidden="1"/>
    </xf>
    <xf numFmtId="0" fontId="0" fillId="0" borderId="0" xfId="0" applyNumberFormat="1" applyFill="1" applyAlignment="1" applyProtection="1">
      <protection hidden="1"/>
    </xf>
    <xf numFmtId="0" fontId="0" fillId="0" borderId="0" xfId="0" applyFill="1" applyBorder="1" applyProtection="1">
      <alignment vertical="center"/>
      <protection hidden="1"/>
    </xf>
    <xf numFmtId="0" fontId="1" fillId="0" borderId="0" xfId="0" applyFont="1" applyFill="1" applyBorder="1" applyProtection="1">
      <alignment vertical="center"/>
      <protection hidden="1"/>
    </xf>
    <xf numFmtId="0" fontId="0" fillId="0" borderId="0" xfId="0" applyFill="1" applyBorder="1" applyAlignment="1" applyProtection="1">
      <alignment vertical="center"/>
      <protection hidden="1"/>
    </xf>
    <xf numFmtId="1" fontId="8" fillId="0" borderId="0" xfId="0" applyNumberFormat="1" applyFont="1" applyFill="1" applyBorder="1" applyAlignment="1" applyProtection="1">
      <alignment vertical="center"/>
      <protection hidden="1"/>
    </xf>
    <xf numFmtId="0" fontId="1" fillId="0" borderId="0" xfId="0" applyFont="1" applyFill="1" applyBorder="1" applyAlignment="1" applyProtection="1">
      <alignment horizontal="right"/>
      <protection hidden="1"/>
    </xf>
    <xf numFmtId="0" fontId="1" fillId="0" borderId="0" xfId="0" applyFont="1" applyFill="1" applyBorder="1" applyAlignment="1" applyProtection="1">
      <alignment horizontal="left"/>
      <protection hidden="1"/>
    </xf>
    <xf numFmtId="0" fontId="0" fillId="0" borderId="0" xfId="0" applyFill="1" applyBorder="1" applyAlignment="1" applyProtection="1">
      <protection hidden="1"/>
    </xf>
    <xf numFmtId="0" fontId="8" fillId="0" borderId="0" xfId="0" applyFont="1" applyFill="1" applyBorder="1" applyProtection="1">
      <alignment vertical="center"/>
      <protection hidden="1"/>
    </xf>
    <xf numFmtId="0" fontId="1" fillId="0" borderId="0" xfId="0" applyFont="1" applyFill="1" applyBorder="1" applyAlignment="1" applyProtection="1">
      <alignment horizontal="center"/>
      <protection hidden="1"/>
    </xf>
    <xf numFmtId="0" fontId="1"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79" fontId="8" fillId="0" borderId="0" xfId="0" applyNumberFormat="1" applyFont="1" applyFill="1" applyBorder="1" applyAlignment="1" applyProtection="1">
      <alignment vertical="center"/>
      <protection hidden="1"/>
    </xf>
    <xf numFmtId="179" fontId="8" fillId="0" borderId="0" xfId="0" applyNumberFormat="1" applyFont="1" applyFill="1" applyBorder="1" applyAlignment="1" applyProtection="1">
      <alignment horizontal="right" vertical="center"/>
      <protection hidden="1"/>
    </xf>
    <xf numFmtId="0" fontId="0" fillId="0" borderId="0" xfId="0" applyFill="1" applyProtection="1">
      <alignment vertical="center"/>
      <protection hidden="1"/>
    </xf>
    <xf numFmtId="0" fontId="0" fillId="0" borderId="0" xfId="0" applyFill="1" applyBorder="1" applyAlignment="1" applyProtection="1">
      <alignment horizontal="right"/>
      <protection hidden="1"/>
    </xf>
    <xf numFmtId="0" fontId="8" fillId="0" borderId="0" xfId="0" applyFont="1" applyFill="1" applyBorder="1" applyAlignment="1" applyProtection="1">
      <alignment horizontal="center"/>
      <protection hidden="1"/>
    </xf>
    <xf numFmtId="3" fontId="8" fillId="0" borderId="0" xfId="0" applyNumberFormat="1" applyFont="1" applyFill="1" applyBorder="1" applyAlignment="1" applyProtection="1">
      <protection hidden="1"/>
    </xf>
    <xf numFmtId="3" fontId="8" fillId="0" borderId="0" xfId="0" applyNumberFormat="1" applyFont="1" applyFill="1" applyBorder="1" applyAlignment="1" applyProtection="1">
      <alignment horizontal="center"/>
      <protection hidden="1"/>
    </xf>
    <xf numFmtId="0" fontId="10" fillId="0" borderId="0" xfId="0" applyFont="1" applyFill="1" applyBorder="1" applyProtection="1">
      <alignment vertical="center"/>
      <protection hidden="1"/>
    </xf>
    <xf numFmtId="176" fontId="0" fillId="0" borderId="0" xfId="0" applyNumberFormat="1" applyBorder="1" applyProtection="1">
      <alignment vertical="center"/>
      <protection hidden="1"/>
    </xf>
    <xf numFmtId="0" fontId="0" fillId="0" borderId="0" xfId="0" applyNumberFormat="1" applyFill="1" applyBorder="1" applyAlignment="1" applyProtection="1">
      <protection hidden="1"/>
    </xf>
    <xf numFmtId="178" fontId="1" fillId="0" borderId="0" xfId="0" applyNumberFormat="1" applyFont="1" applyFill="1" applyBorder="1" applyAlignment="1" applyProtection="1">
      <alignment horizontal="left"/>
      <protection hidden="1"/>
    </xf>
    <xf numFmtId="178" fontId="1" fillId="0" borderId="0" xfId="0" applyNumberFormat="1" applyFont="1" applyFill="1" applyBorder="1" applyAlignment="1" applyProtection="1">
      <alignment horizontal="left" vertical="top"/>
      <protection hidden="1"/>
    </xf>
    <xf numFmtId="0" fontId="0" fillId="0" borderId="0" xfId="0" applyBorder="1" applyAlignment="1" applyProtection="1">
      <alignment horizontal="center"/>
      <protection hidden="1"/>
    </xf>
    <xf numFmtId="177" fontId="0" fillId="0" borderId="0" xfId="0" applyNumberFormat="1" applyBorder="1" applyProtection="1">
      <alignment vertical="center"/>
      <protection hidden="1"/>
    </xf>
    <xf numFmtId="0" fontId="0" fillId="0" borderId="0" xfId="0" applyBorder="1" applyAlignment="1" applyProtection="1">
      <alignment horizontal="right"/>
      <protection hidden="1"/>
    </xf>
    <xf numFmtId="2" fontId="0" fillId="0" borderId="0" xfId="0" applyNumberFormat="1" applyFill="1" applyBorder="1" applyAlignment="1" applyProtection="1">
      <alignment horizontal="center"/>
      <protection hidden="1"/>
    </xf>
    <xf numFmtId="2" fontId="0" fillId="0" borderId="0" xfId="0" applyNumberFormat="1" applyBorder="1" applyProtection="1">
      <alignment vertical="center"/>
      <protection hidden="1"/>
    </xf>
    <xf numFmtId="2" fontId="0" fillId="0" borderId="0" xfId="0" applyNumberFormat="1" applyFill="1" applyBorder="1" applyProtection="1">
      <alignment vertical="center"/>
      <protection hidden="1"/>
    </xf>
    <xf numFmtId="1" fontId="0" fillId="0" borderId="0" xfId="0" applyNumberFormat="1" applyBorder="1" applyProtection="1">
      <alignment vertical="center"/>
      <protection hidden="1"/>
    </xf>
    <xf numFmtId="178" fontId="0" fillId="0" borderId="0" xfId="0" applyNumberFormat="1" applyBorder="1" applyAlignment="1" applyProtection="1">
      <alignment horizontal="center"/>
      <protection hidden="1"/>
    </xf>
    <xf numFmtId="0" fontId="11" fillId="0" borderId="0" xfId="0" applyFont="1" applyBorder="1" applyProtection="1">
      <alignment vertical="center"/>
      <protection hidden="1"/>
    </xf>
    <xf numFmtId="40" fontId="0" fillId="0" borderId="0" xfId="1" applyNumberFormat="1" applyFont="1" applyFill="1" applyBorder="1" applyAlignment="1" applyProtection="1">
      <alignment horizontal="right"/>
      <protection hidden="1"/>
    </xf>
    <xf numFmtId="0" fontId="0" fillId="0" borderId="0" xfId="0" applyBorder="1" applyAlignment="1" applyProtection="1">
      <alignment horizontal="left"/>
      <protection hidden="1"/>
    </xf>
    <xf numFmtId="0" fontId="10" fillId="0" borderId="0" xfId="0" applyFont="1" applyFill="1" applyBorder="1" applyAlignment="1" applyProtection="1">
      <protection hidden="1"/>
    </xf>
    <xf numFmtId="0" fontId="12" fillId="0" borderId="0" xfId="0" applyFont="1" applyFill="1" applyBorder="1" applyProtection="1">
      <alignment vertical="center"/>
      <protection hidden="1"/>
    </xf>
    <xf numFmtId="0" fontId="13" fillId="0" borderId="0" xfId="0" applyFont="1" applyFill="1" applyBorder="1" applyProtection="1">
      <alignment vertical="center"/>
      <protection hidden="1"/>
    </xf>
    <xf numFmtId="0" fontId="0" fillId="0" borderId="2" xfId="0" applyFill="1" applyBorder="1" applyProtection="1">
      <alignment vertical="center"/>
      <protection hidden="1"/>
    </xf>
    <xf numFmtId="0" fontId="0" fillId="0" borderId="3" xfId="0" applyFill="1" applyBorder="1" applyProtection="1">
      <alignment vertical="center"/>
      <protection hidden="1"/>
    </xf>
    <xf numFmtId="0" fontId="0" fillId="0" borderId="4" xfId="0" applyFill="1" applyBorder="1" applyProtection="1">
      <alignment vertical="center"/>
      <protection hidden="1"/>
    </xf>
    <xf numFmtId="0" fontId="0" fillId="0" borderId="5" xfId="0" applyFill="1" applyBorder="1" applyProtection="1">
      <alignment vertical="center"/>
      <protection hidden="1"/>
    </xf>
    <xf numFmtId="3" fontId="0" fillId="0" borderId="5" xfId="0" applyNumberFormat="1" applyFill="1" applyBorder="1" applyProtection="1">
      <alignment vertical="center"/>
      <protection hidden="1"/>
    </xf>
    <xf numFmtId="0" fontId="1" fillId="0" borderId="0" xfId="0" applyNumberFormat="1" applyFont="1" applyFill="1" applyBorder="1" applyAlignment="1" applyProtection="1">
      <alignment horizontal="center"/>
      <protection hidden="1"/>
    </xf>
    <xf numFmtId="3" fontId="1" fillId="0" borderId="0" xfId="0" applyNumberFormat="1" applyFont="1" applyFill="1" applyBorder="1" applyAlignment="1" applyProtection="1">
      <protection hidden="1"/>
    </xf>
    <xf numFmtId="3" fontId="1" fillId="0" borderId="0" xfId="0" applyNumberFormat="1" applyFont="1" applyFill="1" applyBorder="1" applyAlignment="1" applyProtection="1">
      <alignment horizontal="center"/>
      <protection hidden="1"/>
    </xf>
    <xf numFmtId="3" fontId="0" fillId="0" borderId="0" xfId="0" applyNumberFormat="1" applyFill="1" applyBorder="1" applyProtection="1">
      <alignment vertical="center"/>
      <protection hidden="1"/>
    </xf>
    <xf numFmtId="0" fontId="0" fillId="0" borderId="0" xfId="0" applyNumberFormat="1" applyBorder="1" applyAlignment="1" applyProtection="1">
      <protection hidden="1"/>
    </xf>
    <xf numFmtId="0" fontId="6" fillId="0" borderId="0" xfId="0" applyFont="1" applyProtection="1">
      <alignment vertical="center"/>
      <protection hidden="1"/>
    </xf>
    <xf numFmtId="4" fontId="0" fillId="0" borderId="0" xfId="0" applyNumberFormat="1" applyFill="1" applyBorder="1" applyAlignment="1" applyProtection="1">
      <alignment horizontal="right" vertical="center"/>
      <protection hidden="1"/>
    </xf>
    <xf numFmtId="0" fontId="0" fillId="2" borderId="1" xfId="0" applyFill="1" applyBorder="1" applyProtection="1">
      <alignment vertical="center"/>
      <protection locked="0"/>
    </xf>
    <xf numFmtId="0" fontId="0" fillId="0" borderId="0" xfId="0" applyNumberFormat="1" applyAlignment="1" applyProtection="1">
      <protection hidden="1"/>
    </xf>
    <xf numFmtId="0" fontId="9" fillId="0" borderId="0" xfId="0" applyFont="1" applyFill="1" applyBorder="1" applyAlignment="1" applyProtection="1">
      <alignment horizontal="left"/>
      <protection hidden="1"/>
    </xf>
    <xf numFmtId="0" fontId="1" fillId="2" borderId="1" xfId="0" applyNumberFormat="1" applyFont="1" applyFill="1" applyBorder="1" applyAlignment="1" applyProtection="1">
      <protection locked="0"/>
    </xf>
    <xf numFmtId="0" fontId="1" fillId="0" borderId="0" xfId="0" applyFont="1" applyProtection="1">
      <alignment vertical="center"/>
      <protection hidden="1"/>
    </xf>
    <xf numFmtId="0" fontId="17" fillId="0" borderId="0" xfId="0" applyFont="1">
      <alignment vertical="center"/>
    </xf>
    <xf numFmtId="0" fontId="0" fillId="0" borderId="0" xfId="0" applyAlignment="1">
      <alignment horizontal="right" vertical="center"/>
    </xf>
    <xf numFmtId="177" fontId="0" fillId="0" borderId="0" xfId="0" applyNumberFormat="1" applyBorder="1" applyAlignment="1" applyProtection="1">
      <alignment vertical="center"/>
      <protection hidden="1"/>
    </xf>
    <xf numFmtId="0" fontId="0" fillId="0" borderId="0" xfId="0" applyBorder="1" applyAlignment="1" applyProtection="1">
      <alignment vertical="center"/>
      <protection hidden="1"/>
    </xf>
    <xf numFmtId="178" fontId="0" fillId="0" borderId="0" xfId="0" applyNumberFormat="1" applyBorder="1" applyProtection="1">
      <alignment vertical="center"/>
      <protection hidden="1"/>
    </xf>
    <xf numFmtId="0" fontId="1" fillId="0" borderId="0" xfId="0" applyNumberFormat="1" applyFont="1" applyFill="1" applyProtection="1">
      <alignment vertical="center"/>
      <protection hidden="1"/>
    </xf>
    <xf numFmtId="0" fontId="1" fillId="0" borderId="0" xfId="0" applyNumberFormat="1" applyFont="1" applyFill="1" applyAlignment="1" applyProtection="1">
      <protection hidden="1"/>
    </xf>
    <xf numFmtId="181" fontId="1" fillId="0" borderId="0" xfId="0" applyNumberFormat="1" applyFont="1" applyBorder="1" applyAlignment="1" applyProtection="1">
      <protection hidden="1"/>
    </xf>
    <xf numFmtId="177" fontId="1" fillId="0" borderId="0" xfId="0" applyNumberFormat="1" applyFont="1" applyBorder="1" applyAlignment="1" applyProtection="1">
      <protection hidden="1"/>
    </xf>
    <xf numFmtId="0" fontId="1" fillId="0" borderId="0" xfId="0" applyNumberFormat="1" applyFont="1" applyBorder="1" applyAlignment="1" applyProtection="1">
      <protection hidden="1"/>
    </xf>
    <xf numFmtId="0" fontId="1" fillId="0" borderId="0" xfId="0" applyNumberFormat="1" applyFont="1" applyFill="1" applyAlignment="1" applyProtection="1">
      <alignment horizontal="center"/>
      <protection hidden="1"/>
    </xf>
    <xf numFmtId="4" fontId="1" fillId="0" borderId="0" xfId="0" applyNumberFormat="1" applyFont="1" applyProtection="1">
      <alignment vertical="center"/>
      <protection hidden="1"/>
    </xf>
    <xf numFmtId="0" fontId="1" fillId="0" borderId="0" xfId="0" applyFont="1" applyFill="1" applyBorder="1" applyAlignment="1" applyProtection="1">
      <alignment vertical="center"/>
      <protection hidden="1"/>
    </xf>
    <xf numFmtId="0" fontId="1" fillId="0" borderId="0" xfId="0" applyFont="1" applyFill="1" applyProtection="1">
      <alignment vertical="center"/>
      <protection hidden="1"/>
    </xf>
    <xf numFmtId="0" fontId="1" fillId="0" borderId="0" xfId="0" applyFont="1" applyBorder="1" applyProtection="1">
      <alignment vertical="center"/>
      <protection hidden="1"/>
    </xf>
    <xf numFmtId="0" fontId="1" fillId="0" borderId="0" xfId="0" applyFont="1" applyFill="1" applyBorder="1" applyAlignment="1" applyProtection="1">
      <alignment horizontal="left" vertical="center"/>
      <protection hidden="1"/>
    </xf>
    <xf numFmtId="0" fontId="1" fillId="0" borderId="0" xfId="0" applyNumberFormat="1" applyFont="1" applyFill="1" applyBorder="1" applyAlignment="1" applyProtection="1">
      <protection hidden="1"/>
    </xf>
    <xf numFmtId="0" fontId="1" fillId="0" borderId="0" xfId="0" quotePrefix="1" applyFont="1" applyFill="1" applyBorder="1" applyAlignment="1" applyProtection="1">
      <alignment horizontal="center"/>
      <protection hidden="1"/>
    </xf>
    <xf numFmtId="0" fontId="1" fillId="0" borderId="0" xfId="0" applyNumberFormat="1" applyFont="1" applyFill="1" applyBorder="1" applyAlignment="1" applyProtection="1">
      <alignment horizontal="left" vertical="center"/>
      <protection hidden="1"/>
    </xf>
    <xf numFmtId="0" fontId="1" fillId="0" borderId="0" xfId="0" quotePrefix="1" applyFont="1" applyProtection="1">
      <alignment vertical="center"/>
      <protection hidden="1"/>
    </xf>
    <xf numFmtId="176" fontId="1" fillId="0" borderId="0" xfId="0" applyNumberFormat="1" applyFont="1" applyProtection="1">
      <alignment vertical="center"/>
      <protection hidden="1"/>
    </xf>
    <xf numFmtId="4" fontId="0" fillId="0" borderId="0" xfId="0" applyNumberFormat="1" applyFill="1" applyBorder="1" applyProtection="1">
      <alignment vertical="center"/>
      <protection hidden="1"/>
    </xf>
    <xf numFmtId="0" fontId="1" fillId="0" borderId="14" xfId="0" applyFont="1" applyBorder="1" applyProtection="1">
      <alignment vertical="center"/>
      <protection hidden="1"/>
    </xf>
    <xf numFmtId="0" fontId="1" fillId="0" borderId="7" xfId="0" applyFont="1" applyBorder="1" applyProtection="1">
      <alignment vertical="center"/>
      <protection hidden="1"/>
    </xf>
    <xf numFmtId="0" fontId="1" fillId="0" borderId="7" xfId="0" applyFont="1" applyFill="1" applyBorder="1" applyProtection="1">
      <alignment vertical="center"/>
      <protection hidden="1"/>
    </xf>
    <xf numFmtId="0" fontId="1" fillId="0" borderId="7" xfId="0" applyNumberFormat="1" applyFont="1" applyFill="1" applyBorder="1" applyProtection="1">
      <alignment vertical="center"/>
      <protection hidden="1"/>
    </xf>
    <xf numFmtId="0" fontId="1" fillId="0" borderId="7" xfId="0" applyNumberFormat="1" applyFont="1" applyFill="1" applyBorder="1" applyAlignment="1" applyProtection="1">
      <protection hidden="1"/>
    </xf>
    <xf numFmtId="0" fontId="0" fillId="0" borderId="7" xfId="0" applyFill="1" applyBorder="1" applyProtection="1">
      <alignment vertical="center"/>
      <protection hidden="1"/>
    </xf>
    <xf numFmtId="0" fontId="1" fillId="0" borderId="0" xfId="0" applyNumberFormat="1" applyFont="1" applyFill="1" applyBorder="1" applyProtection="1">
      <alignment vertical="center"/>
      <protection hidden="1"/>
    </xf>
    <xf numFmtId="176" fontId="1" fillId="0" borderId="0" xfId="0" applyNumberFormat="1" applyFont="1" applyBorder="1" applyProtection="1">
      <alignment vertical="center"/>
      <protection hidden="1"/>
    </xf>
    <xf numFmtId="4" fontId="0" fillId="0" borderId="7" xfId="0" applyNumberFormat="1" applyFill="1" applyBorder="1" applyAlignment="1" applyProtection="1">
      <alignment horizontal="right" vertical="center"/>
      <protection hidden="1"/>
    </xf>
    <xf numFmtId="0" fontId="0" fillId="0" borderId="7" xfId="0" applyBorder="1" applyProtection="1">
      <alignment vertical="center"/>
      <protection hidden="1"/>
    </xf>
    <xf numFmtId="3" fontId="1" fillId="0" borderId="0" xfId="0" applyNumberFormat="1" applyFont="1" applyProtection="1">
      <alignment vertical="center"/>
      <protection hidden="1"/>
    </xf>
    <xf numFmtId="0" fontId="1" fillId="0" borderId="0" xfId="0" applyNumberFormat="1" applyFont="1" applyBorder="1" applyAlignment="1" applyProtection="1">
      <alignment horizontal="center"/>
      <protection hidden="1"/>
    </xf>
    <xf numFmtId="176" fontId="0" fillId="0" borderId="0" xfId="0" applyNumberFormat="1" applyFill="1" applyBorder="1" applyProtection="1">
      <alignment vertical="center"/>
      <protection hidden="1"/>
    </xf>
    <xf numFmtId="0" fontId="2" fillId="0" borderId="0" xfId="0" applyFont="1" applyFill="1" applyBorder="1" applyProtection="1">
      <alignment vertical="center"/>
      <protection hidden="1"/>
    </xf>
    <xf numFmtId="0" fontId="0" fillId="0" borderId="28" xfId="0" applyFill="1" applyBorder="1" applyAlignment="1" applyProtection="1">
      <alignment horizontal="center" vertical="center"/>
      <protection hidden="1"/>
    </xf>
    <xf numFmtId="0" fontId="0" fillId="0" borderId="33" xfId="0"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5" xfId="0" applyFill="1" applyBorder="1" applyProtection="1">
      <alignment vertical="center"/>
      <protection hidden="1"/>
    </xf>
    <xf numFmtId="176" fontId="0" fillId="0" borderId="17" xfId="0" applyNumberFormat="1" applyFill="1" applyBorder="1" applyProtection="1">
      <alignment vertical="center"/>
      <protection hidden="1"/>
    </xf>
    <xf numFmtId="3" fontId="0" fillId="0" borderId="32" xfId="0" applyNumberFormat="1" applyFill="1" applyBorder="1" applyProtection="1">
      <alignment vertical="center"/>
      <protection hidden="1"/>
    </xf>
    <xf numFmtId="0" fontId="0" fillId="0" borderId="34" xfId="0" applyFill="1" applyBorder="1" applyProtection="1">
      <alignment vertical="center"/>
      <protection hidden="1"/>
    </xf>
    <xf numFmtId="176" fontId="0" fillId="0" borderId="1" xfId="0" applyNumberFormat="1" applyFill="1" applyBorder="1" applyProtection="1">
      <alignment vertical="center"/>
      <protection hidden="1"/>
    </xf>
    <xf numFmtId="3" fontId="0" fillId="0" borderId="28" xfId="0" applyNumberFormat="1" applyFill="1" applyBorder="1" applyProtection="1">
      <alignment vertical="center"/>
      <protection hidden="1"/>
    </xf>
    <xf numFmtId="0" fontId="0" fillId="0" borderId="36" xfId="0" applyFill="1" applyBorder="1" applyProtection="1">
      <alignment vertical="center"/>
      <protection hidden="1"/>
    </xf>
    <xf numFmtId="0" fontId="0" fillId="0" borderId="21" xfId="0" applyFill="1" applyBorder="1" applyProtection="1">
      <alignment vertical="center"/>
      <protection hidden="1"/>
    </xf>
    <xf numFmtId="176" fontId="0" fillId="0" borderId="21" xfId="0" applyNumberFormat="1" applyFill="1" applyBorder="1" applyProtection="1">
      <alignment vertical="center"/>
      <protection hidden="1"/>
    </xf>
    <xf numFmtId="3" fontId="0" fillId="0" borderId="30" xfId="0" applyNumberFormat="1" applyFill="1" applyBorder="1" applyProtection="1">
      <alignment vertical="center"/>
      <protection hidden="1"/>
    </xf>
    <xf numFmtId="0" fontId="6" fillId="0" borderId="0" xfId="0" applyFont="1" applyBorder="1" applyProtection="1">
      <alignment vertical="center"/>
      <protection hidden="1"/>
    </xf>
    <xf numFmtId="0" fontId="0" fillId="0" borderId="22" xfId="0" applyFill="1" applyBorder="1" applyProtection="1">
      <alignment vertical="center"/>
      <protection hidden="1"/>
    </xf>
    <xf numFmtId="0" fontId="2" fillId="0" borderId="0" xfId="0" applyFont="1" applyBorder="1" applyProtection="1">
      <alignment vertical="center"/>
      <protection hidden="1"/>
    </xf>
    <xf numFmtId="0" fontId="0" fillId="0" borderId="38" xfId="0" applyFill="1" applyBorder="1" applyProtection="1">
      <alignment vertical="center"/>
      <protection hidden="1"/>
    </xf>
    <xf numFmtId="0" fontId="0" fillId="0" borderId="17" xfId="0" applyFill="1" applyBorder="1" applyProtection="1">
      <alignment vertical="center"/>
      <protection hidden="1"/>
    </xf>
    <xf numFmtId="0" fontId="0" fillId="0" borderId="39" xfId="0" applyFill="1" applyBorder="1" applyProtection="1">
      <alignment vertical="center"/>
      <protection hidden="1"/>
    </xf>
    <xf numFmtId="0" fontId="0" fillId="0" borderId="10" xfId="0" applyFill="1" applyBorder="1" applyProtection="1">
      <alignment vertical="center"/>
      <protection hidden="1"/>
    </xf>
    <xf numFmtId="0" fontId="2" fillId="0" borderId="40" xfId="0" applyFont="1" applyFill="1" applyBorder="1" applyAlignment="1" applyProtection="1">
      <alignment horizontal="left"/>
      <protection hidden="1"/>
    </xf>
    <xf numFmtId="0" fontId="0" fillId="0" borderId="41" xfId="0" applyFill="1" applyBorder="1" applyProtection="1">
      <alignment vertical="center"/>
      <protection hidden="1"/>
    </xf>
    <xf numFmtId="0" fontId="2" fillId="0" borderId="42" xfId="0" applyFont="1" applyFill="1" applyBorder="1" applyAlignment="1" applyProtection="1">
      <alignment horizontal="left"/>
      <protection hidden="1"/>
    </xf>
    <xf numFmtId="0" fontId="0" fillId="0" borderId="21" xfId="0" applyFill="1" applyBorder="1" applyAlignment="1" applyProtection="1">
      <alignment horizontal="center"/>
      <protection hidden="1"/>
    </xf>
    <xf numFmtId="0" fontId="0" fillId="0" borderId="30" xfId="0" applyFill="1" applyBorder="1" applyAlignment="1" applyProtection="1">
      <alignment horizontal="center"/>
      <protection hidden="1"/>
    </xf>
    <xf numFmtId="0" fontId="0" fillId="0" borderId="1" xfId="0" applyBorder="1" applyProtection="1">
      <alignment vertical="center"/>
      <protection hidden="1"/>
    </xf>
    <xf numFmtId="0" fontId="0" fillId="0" borderId="0" xfId="0" applyNumberFormat="1" applyFill="1" applyBorder="1" applyAlignment="1" applyProtection="1">
      <alignment horizontal="center" vertical="center"/>
      <protection hidden="1"/>
    </xf>
    <xf numFmtId="176" fontId="0" fillId="0" borderId="0" xfId="0" applyNumberFormat="1" applyFill="1" applyProtection="1">
      <alignment vertical="center"/>
      <protection hidden="1"/>
    </xf>
    <xf numFmtId="176" fontId="0" fillId="0" borderId="0" xfId="0" applyNumberFormat="1" applyProtection="1">
      <alignment vertical="center"/>
      <protection hidden="1"/>
    </xf>
    <xf numFmtId="0" fontId="1" fillId="0" borderId="21" xfId="0" applyNumberFormat="1" applyFont="1" applyFill="1" applyBorder="1" applyAlignment="1" applyProtection="1">
      <alignment horizontal="center"/>
      <protection hidden="1"/>
    </xf>
    <xf numFmtId="0" fontId="1" fillId="0" borderId="0" xfId="0" applyFont="1" applyAlignment="1" applyProtection="1">
      <alignment horizontal="left" vertical="center"/>
      <protection hidden="1"/>
    </xf>
    <xf numFmtId="4" fontId="0" fillId="0" borderId="56" xfId="0" applyNumberFormat="1" applyBorder="1" applyAlignment="1" applyProtection="1">
      <alignment vertical="center"/>
      <protection locked="0"/>
    </xf>
    <xf numFmtId="4" fontId="0" fillId="0" borderId="57" xfId="0" applyNumberFormat="1" applyBorder="1" applyAlignment="1" applyProtection="1">
      <alignment vertical="center"/>
      <protection locked="0"/>
    </xf>
    <xf numFmtId="4" fontId="0" fillId="0" borderId="29" xfId="0" applyNumberFormat="1" applyFill="1" applyBorder="1" applyAlignment="1" applyProtection="1">
      <alignment vertical="center"/>
      <protection locked="0"/>
    </xf>
    <xf numFmtId="3" fontId="0" fillId="0" borderId="0" xfId="0" applyNumberFormat="1" applyBorder="1" applyAlignment="1" applyProtection="1">
      <protection hidden="1"/>
    </xf>
    <xf numFmtId="0" fontId="1" fillId="0" borderId="0" xfId="0" applyNumberFormat="1" applyFont="1" applyAlignment="1" applyProtection="1">
      <protection hidden="1"/>
    </xf>
    <xf numFmtId="0" fontId="2" fillId="0" borderId="0" xfId="0" applyNumberFormat="1" applyFont="1" applyFill="1" applyAlignment="1" applyProtection="1">
      <protection hidden="1"/>
    </xf>
    <xf numFmtId="0" fontId="22" fillId="0" borderId="0" xfId="0" applyNumberFormat="1" applyFont="1" applyFill="1" applyBorder="1" applyAlignment="1" applyProtection="1">
      <protection hidden="1"/>
    </xf>
    <xf numFmtId="0" fontId="22" fillId="0" borderId="0" xfId="0" applyNumberFormat="1" applyFont="1" applyAlignment="1" applyProtection="1">
      <protection hidden="1"/>
    </xf>
    <xf numFmtId="0" fontId="22" fillId="0" borderId="0" xfId="0" applyNumberFormat="1" applyFont="1" applyFill="1" applyAlignment="1" applyProtection="1">
      <protection hidden="1"/>
    </xf>
    <xf numFmtId="0" fontId="22" fillId="0" borderId="0" xfId="0" applyFont="1" applyFill="1" applyBorder="1" applyProtection="1">
      <alignment vertical="center"/>
      <protection hidden="1"/>
    </xf>
    <xf numFmtId="0" fontId="2" fillId="0" borderId="0" xfId="0" applyNumberFormat="1" applyFont="1" applyFill="1" applyBorder="1" applyAlignment="1" applyProtection="1">
      <protection hidden="1"/>
    </xf>
    <xf numFmtId="0" fontId="22" fillId="0" borderId="0" xfId="0" applyNumberFormat="1" applyFont="1" applyFill="1" applyBorder="1" applyAlignment="1" applyProtection="1">
      <alignment horizontal="left"/>
      <protection hidden="1"/>
    </xf>
    <xf numFmtId="0" fontId="22" fillId="0" borderId="0" xfId="0" applyFont="1" applyProtection="1">
      <alignment vertical="center"/>
      <protection hidden="1"/>
    </xf>
    <xf numFmtId="0" fontId="22" fillId="0" borderId="0" xfId="0" applyNumberFormat="1" applyFont="1" applyBorder="1" applyAlignment="1" applyProtection="1">
      <protection hidden="1"/>
    </xf>
    <xf numFmtId="0" fontId="22" fillId="0" borderId="0" xfId="0" applyNumberFormat="1" applyFont="1" applyAlignment="1" applyProtection="1">
      <alignment horizontal="center"/>
      <protection hidden="1"/>
    </xf>
    <xf numFmtId="0" fontId="22" fillId="0" borderId="0" xfId="0" applyNumberFormat="1" applyFont="1" applyFill="1" applyBorder="1" applyAlignment="1" applyProtection="1">
      <alignment horizontal="center"/>
      <protection hidden="1"/>
    </xf>
    <xf numFmtId="0" fontId="22" fillId="0" borderId="0" xfId="0" applyFont="1" applyBorder="1" applyProtection="1">
      <alignment vertical="center"/>
      <protection hidden="1"/>
    </xf>
    <xf numFmtId="0" fontId="22" fillId="0" borderId="0" xfId="0" applyFont="1" applyFill="1" applyBorder="1" applyAlignment="1" applyProtection="1">
      <alignment horizontal="center"/>
      <protection hidden="1"/>
    </xf>
    <xf numFmtId="0" fontId="22" fillId="0" borderId="0" xfId="0" applyNumberFormat="1" applyFont="1" applyFill="1" applyProtection="1">
      <alignment vertical="center"/>
      <protection hidden="1"/>
    </xf>
    <xf numFmtId="0" fontId="22" fillId="0" borderId="0" xfId="0" applyNumberFormat="1" applyFont="1" applyFill="1" applyAlignment="1" applyProtection="1">
      <alignment horizontal="right"/>
      <protection hidden="1"/>
    </xf>
    <xf numFmtId="0" fontId="22" fillId="0" borderId="0" xfId="0" applyFont="1" applyFill="1" applyBorder="1" applyAlignment="1" applyProtection="1">
      <alignment vertical="top" wrapText="1"/>
      <protection hidden="1"/>
    </xf>
    <xf numFmtId="0" fontId="22" fillId="0" borderId="0" xfId="0" applyFont="1" applyFill="1" applyBorder="1" applyAlignment="1" applyProtection="1">
      <protection hidden="1"/>
    </xf>
    <xf numFmtId="0" fontId="22" fillId="0" borderId="0" xfId="0" applyFont="1" applyFill="1" applyBorder="1" applyAlignment="1" applyProtection="1">
      <alignment vertical="center"/>
      <protection hidden="1"/>
    </xf>
    <xf numFmtId="0" fontId="2" fillId="0" borderId="0" xfId="0" applyFont="1" applyFill="1" applyBorder="1" applyAlignment="1" applyProtection="1">
      <alignment horizontal="right"/>
      <protection hidden="1"/>
    </xf>
    <xf numFmtId="0" fontId="0" fillId="3" borderId="0" xfId="0" applyFill="1" applyProtection="1">
      <alignment vertical="center"/>
      <protection hidden="1"/>
    </xf>
    <xf numFmtId="182" fontId="0" fillId="0" borderId="0" xfId="0" applyNumberFormat="1" applyProtection="1">
      <alignment vertical="center"/>
      <protection hidden="1"/>
    </xf>
    <xf numFmtId="176" fontId="0" fillId="0" borderId="78" xfId="0" applyNumberFormat="1" applyFill="1" applyBorder="1" applyAlignment="1" applyProtection="1">
      <alignment horizontal="right" vertical="center"/>
      <protection locked="0"/>
    </xf>
    <xf numFmtId="176" fontId="0" fillId="0" borderId="79" xfId="0" applyNumberFormat="1" applyFill="1" applyBorder="1" applyAlignment="1" applyProtection="1">
      <alignment horizontal="right" vertical="center"/>
      <protection locked="0"/>
    </xf>
    <xf numFmtId="176" fontId="0" fillId="0" borderId="86" xfId="0" applyNumberFormat="1" applyFill="1" applyBorder="1" applyAlignment="1" applyProtection="1">
      <alignment horizontal="right" vertical="center"/>
      <protection locked="0"/>
    </xf>
    <xf numFmtId="176" fontId="0" fillId="0" borderId="87" xfId="0" applyNumberFormat="1" applyFill="1" applyBorder="1" applyAlignment="1" applyProtection="1">
      <alignment horizontal="right" vertical="center"/>
      <protection locked="0"/>
    </xf>
    <xf numFmtId="176" fontId="0" fillId="0" borderId="58" xfId="0" applyNumberFormat="1" applyFill="1" applyBorder="1" applyAlignment="1" applyProtection="1">
      <alignment horizontal="right" vertical="center"/>
      <protection locked="0"/>
    </xf>
    <xf numFmtId="176" fontId="0" fillId="0" borderId="56" xfId="0" applyNumberFormat="1" applyFill="1" applyBorder="1" applyAlignment="1" applyProtection="1">
      <alignment horizontal="right" vertical="center"/>
      <protection locked="0"/>
    </xf>
    <xf numFmtId="0" fontId="0" fillId="0" borderId="58" xfId="0" applyFill="1" applyBorder="1" applyAlignment="1" applyProtection="1">
      <alignment vertical="center"/>
      <protection hidden="1"/>
    </xf>
    <xf numFmtId="0" fontId="0" fillId="0" borderId="86"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0" fillId="0" borderId="44" xfId="0" applyFill="1" applyBorder="1" applyAlignment="1" applyProtection="1">
      <alignment vertical="center"/>
      <protection hidden="1"/>
    </xf>
    <xf numFmtId="0" fontId="0" fillId="5" borderId="50" xfId="0" applyFill="1" applyBorder="1" applyAlignment="1" applyProtection="1">
      <alignment horizontal="center" vertical="center"/>
      <protection hidden="1"/>
    </xf>
    <xf numFmtId="0" fontId="0" fillId="5" borderId="26" xfId="0" applyFill="1" applyBorder="1" applyProtection="1">
      <alignment vertical="center"/>
      <protection hidden="1"/>
    </xf>
    <xf numFmtId="0" fontId="0" fillId="5" borderId="24" xfId="0" applyFill="1" applyBorder="1" applyProtection="1">
      <alignment vertical="center"/>
      <protection hidden="1"/>
    </xf>
    <xf numFmtId="176" fontId="0" fillId="5" borderId="26" xfId="0" applyNumberFormat="1" applyFill="1" applyBorder="1" applyProtection="1">
      <alignment vertical="center"/>
      <protection hidden="1"/>
    </xf>
    <xf numFmtId="0" fontId="0" fillId="5" borderId="49" xfId="0" applyFill="1" applyBorder="1" applyProtection="1">
      <alignment vertical="center"/>
      <protection hidden="1"/>
    </xf>
    <xf numFmtId="0" fontId="0" fillId="5" borderId="25" xfId="0" applyFill="1" applyBorder="1" applyAlignment="1" applyProtection="1">
      <alignment vertical="center"/>
      <protection hidden="1"/>
    </xf>
    <xf numFmtId="176" fontId="0" fillId="5" borderId="25" xfId="0" applyNumberFormat="1" applyFill="1" applyBorder="1" applyProtection="1">
      <alignment vertical="center"/>
      <protection hidden="1"/>
    </xf>
    <xf numFmtId="176" fontId="0" fillId="5" borderId="27" xfId="0" applyNumberFormat="1" applyFill="1" applyBorder="1" applyProtection="1">
      <alignment vertical="center"/>
      <protection hidden="1"/>
    </xf>
    <xf numFmtId="0" fontId="0" fillId="5" borderId="48" xfId="0" applyFill="1" applyBorder="1" applyProtection="1">
      <alignment vertical="center"/>
      <protection hidden="1"/>
    </xf>
    <xf numFmtId="0" fontId="0" fillId="5" borderId="7" xfId="0" applyFill="1" applyBorder="1" applyProtection="1">
      <alignment vertical="center"/>
      <protection hidden="1"/>
    </xf>
    <xf numFmtId="176" fontId="0" fillId="5" borderId="7" xfId="0" applyNumberFormat="1" applyFill="1" applyBorder="1" applyProtection="1">
      <alignment vertical="center"/>
      <protection hidden="1"/>
    </xf>
    <xf numFmtId="0" fontId="0" fillId="5" borderId="21" xfId="0" quotePrefix="1" applyFill="1" applyBorder="1" applyAlignment="1" applyProtection="1">
      <alignment horizontal="center" vertical="center"/>
      <protection hidden="1"/>
    </xf>
    <xf numFmtId="0" fontId="1" fillId="5" borderId="21" xfId="0" applyNumberFormat="1" applyFont="1" applyFill="1" applyBorder="1" applyAlignment="1" applyProtection="1">
      <alignment horizontal="center"/>
      <protection hidden="1"/>
    </xf>
    <xf numFmtId="0" fontId="0" fillId="5" borderId="21" xfId="0" applyFill="1" applyBorder="1" applyAlignment="1" applyProtection="1">
      <alignment horizontal="center" vertical="center"/>
      <protection hidden="1"/>
    </xf>
    <xf numFmtId="0" fontId="0" fillId="5" borderId="47" xfId="0" applyFill="1" applyBorder="1" applyProtection="1">
      <alignment vertical="center"/>
      <protection hidden="1"/>
    </xf>
    <xf numFmtId="0" fontId="0" fillId="5" borderId="82" xfId="0" applyFill="1" applyBorder="1" applyAlignment="1" applyProtection="1">
      <alignment horizontal="right" vertical="center"/>
      <protection hidden="1"/>
    </xf>
    <xf numFmtId="0" fontId="0" fillId="5" borderId="83" xfId="0" applyFill="1" applyBorder="1" applyAlignment="1" applyProtection="1">
      <alignment horizontal="left" vertical="center"/>
      <protection hidden="1"/>
    </xf>
    <xf numFmtId="0" fontId="0" fillId="5" borderId="90" xfId="0" applyFill="1" applyBorder="1" applyAlignment="1" applyProtection="1">
      <alignment horizontal="right" vertical="center"/>
      <protection hidden="1"/>
    </xf>
    <xf numFmtId="0" fontId="0" fillId="5" borderId="91" xfId="0" applyFill="1" applyBorder="1" applyAlignment="1" applyProtection="1">
      <alignment horizontal="left" vertical="center"/>
      <protection hidden="1"/>
    </xf>
    <xf numFmtId="0" fontId="0" fillId="5" borderId="93" xfId="0" applyFill="1" applyBorder="1" applyAlignment="1" applyProtection="1">
      <alignment horizontal="right" vertical="center"/>
      <protection hidden="1"/>
    </xf>
    <xf numFmtId="0" fontId="0" fillId="5" borderId="94" xfId="0" applyFill="1" applyBorder="1" applyAlignment="1" applyProtection="1">
      <alignment horizontal="left" vertical="center"/>
      <protection hidden="1"/>
    </xf>
    <xf numFmtId="0" fontId="0" fillId="5" borderId="77" xfId="0" applyFill="1" applyBorder="1" applyAlignment="1" applyProtection="1">
      <alignment horizontal="left" vertical="center"/>
      <protection hidden="1"/>
    </xf>
    <xf numFmtId="0" fontId="0" fillId="5" borderId="97" xfId="0" applyFill="1" applyBorder="1" applyAlignment="1" applyProtection="1">
      <alignment horizontal="right" vertical="center"/>
      <protection hidden="1"/>
    </xf>
    <xf numFmtId="0" fontId="0" fillId="5" borderId="65" xfId="0" applyFill="1" applyBorder="1" applyAlignment="1" applyProtection="1">
      <alignment horizontal="left" vertical="center"/>
      <protection hidden="1"/>
    </xf>
    <xf numFmtId="0" fontId="0" fillId="5" borderId="99" xfId="0" applyFill="1" applyBorder="1" applyAlignment="1" applyProtection="1">
      <alignment horizontal="right" vertical="center"/>
      <protection hidden="1"/>
    </xf>
    <xf numFmtId="0" fontId="0" fillId="5" borderId="100" xfId="0" applyFill="1" applyBorder="1" applyAlignment="1" applyProtection="1">
      <alignment horizontal="left" vertical="center"/>
      <protection hidden="1"/>
    </xf>
    <xf numFmtId="0" fontId="0" fillId="5" borderId="101" xfId="0" applyFill="1" applyBorder="1" applyAlignment="1" applyProtection="1">
      <alignment horizontal="left" vertical="center"/>
      <protection hidden="1"/>
    </xf>
    <xf numFmtId="0" fontId="0" fillId="5" borderId="0" xfId="0" applyFill="1" applyProtection="1">
      <alignment vertical="center"/>
      <protection hidden="1"/>
    </xf>
    <xf numFmtId="0" fontId="0" fillId="5" borderId="78" xfId="0" applyFill="1" applyBorder="1" applyAlignment="1" applyProtection="1">
      <alignment horizontal="center" vertical="center"/>
      <protection hidden="1"/>
    </xf>
    <xf numFmtId="0" fontId="0" fillId="5" borderId="20" xfId="0" applyFill="1" applyBorder="1" applyAlignment="1" applyProtection="1">
      <alignment horizontal="center" vertical="center"/>
      <protection hidden="1"/>
    </xf>
    <xf numFmtId="0" fontId="0" fillId="5" borderId="58" xfId="0" applyFill="1" applyBorder="1" applyAlignment="1" applyProtection="1">
      <alignment horizontal="center" vertical="center"/>
      <protection hidden="1"/>
    </xf>
    <xf numFmtId="4" fontId="0" fillId="5" borderId="78" xfId="0" applyNumberFormat="1" applyFill="1" applyBorder="1" applyAlignment="1" applyProtection="1">
      <alignment horizontal="right" vertical="center"/>
      <protection hidden="1"/>
    </xf>
    <xf numFmtId="4" fontId="0" fillId="5" borderId="78" xfId="0" applyNumberFormat="1" applyFill="1" applyBorder="1" applyProtection="1">
      <alignment vertical="center"/>
      <protection hidden="1"/>
    </xf>
    <xf numFmtId="4" fontId="0" fillId="5" borderId="20" xfId="0" applyNumberFormat="1" applyFill="1" applyBorder="1" applyAlignment="1" applyProtection="1">
      <alignment horizontal="right" vertical="center"/>
      <protection hidden="1"/>
    </xf>
    <xf numFmtId="4" fontId="0" fillId="5" borderId="20" xfId="0" applyNumberFormat="1" applyFill="1" applyBorder="1" applyProtection="1">
      <alignment vertical="center"/>
      <protection hidden="1"/>
    </xf>
    <xf numFmtId="4" fontId="0" fillId="5" borderId="58" xfId="0" applyNumberFormat="1" applyFill="1" applyBorder="1" applyAlignment="1" applyProtection="1">
      <alignment horizontal="right" vertical="center"/>
      <protection hidden="1"/>
    </xf>
    <xf numFmtId="4" fontId="0" fillId="5" borderId="58" xfId="0" applyNumberFormat="1" applyFill="1" applyBorder="1" applyProtection="1">
      <alignment vertical="center"/>
      <protection hidden="1"/>
    </xf>
    <xf numFmtId="0" fontId="0" fillId="7" borderId="96" xfId="0" applyFill="1" applyBorder="1" applyAlignment="1" applyProtection="1">
      <alignment horizontal="center" vertical="center"/>
      <protection hidden="1"/>
    </xf>
    <xf numFmtId="4" fontId="0" fillId="8" borderId="86" xfId="0" applyNumberFormat="1" applyFill="1" applyBorder="1" applyAlignment="1" applyProtection="1">
      <alignment horizontal="right" vertical="center"/>
      <protection hidden="1"/>
    </xf>
    <xf numFmtId="4" fontId="0" fillId="8" borderId="86" xfId="0" applyNumberFormat="1" applyFill="1" applyBorder="1" applyProtection="1">
      <alignment vertical="center"/>
      <protection hidden="1"/>
    </xf>
    <xf numFmtId="4" fontId="0" fillId="8" borderId="44" xfId="0" applyNumberFormat="1" applyFill="1" applyBorder="1" applyAlignment="1" applyProtection="1">
      <alignment horizontal="right" vertical="center"/>
      <protection hidden="1"/>
    </xf>
    <xf numFmtId="4" fontId="0" fillId="8" borderId="44" xfId="0" applyNumberFormat="1" applyFill="1" applyBorder="1" applyProtection="1">
      <alignment vertical="center"/>
      <protection hidden="1"/>
    </xf>
    <xf numFmtId="0" fontId="0" fillId="8" borderId="25" xfId="0" applyFill="1" applyBorder="1" applyProtection="1">
      <alignment vertical="center"/>
      <protection hidden="1"/>
    </xf>
    <xf numFmtId="0" fontId="0" fillId="8" borderId="41" xfId="0" applyFill="1" applyBorder="1" applyProtection="1">
      <alignment vertical="center"/>
      <protection hidden="1"/>
    </xf>
    <xf numFmtId="0" fontId="0" fillId="8" borderId="45" xfId="0" applyFill="1" applyBorder="1" applyProtection="1">
      <alignment vertical="center"/>
      <protection hidden="1"/>
    </xf>
    <xf numFmtId="4" fontId="0" fillId="0" borderId="87" xfId="0" applyNumberFormat="1" applyBorder="1" applyAlignment="1" applyProtection="1">
      <alignment vertical="center"/>
      <protection locked="0"/>
    </xf>
    <xf numFmtId="4" fontId="0" fillId="0" borderId="88" xfId="0" applyNumberFormat="1" applyBorder="1" applyAlignment="1" applyProtection="1">
      <alignment vertical="center"/>
      <protection locked="0"/>
    </xf>
    <xf numFmtId="0" fontId="0" fillId="5" borderId="53" xfId="0" applyFill="1" applyBorder="1" applyAlignment="1" applyProtection="1">
      <alignment horizontal="center" vertical="center" wrapText="1"/>
      <protection hidden="1"/>
    </xf>
    <xf numFmtId="0" fontId="0" fillId="5" borderId="18" xfId="0" applyFill="1" applyBorder="1" applyAlignment="1" applyProtection="1">
      <alignment horizontal="center" vertical="center" wrapText="1"/>
      <protection hidden="1"/>
    </xf>
    <xf numFmtId="0" fontId="0" fillId="5" borderId="54" xfId="0" applyFill="1" applyBorder="1" applyAlignment="1" applyProtection="1">
      <alignment horizontal="center" vertical="center" wrapText="1"/>
      <protection hidden="1"/>
    </xf>
    <xf numFmtId="0" fontId="0" fillId="5" borderId="19" xfId="0" applyFill="1" applyBorder="1" applyAlignment="1" applyProtection="1">
      <alignment horizontal="center" vertical="center" wrapText="1"/>
      <protection hidden="1"/>
    </xf>
    <xf numFmtId="0" fontId="0" fillId="5" borderId="55" xfId="0" applyFill="1" applyBorder="1" applyAlignment="1" applyProtection="1">
      <alignment horizontal="center" vertical="center" wrapText="1"/>
      <protection hidden="1"/>
    </xf>
    <xf numFmtId="0" fontId="0" fillId="5" borderId="43" xfId="0" applyFill="1" applyBorder="1" applyAlignment="1" applyProtection="1">
      <alignment horizontal="center" vertical="center" wrapText="1"/>
      <protection hidden="1"/>
    </xf>
    <xf numFmtId="4" fontId="0" fillId="5" borderId="44" xfId="0" applyNumberFormat="1" applyFill="1" applyBorder="1" applyAlignment="1" applyProtection="1">
      <alignment vertical="center"/>
      <protection hidden="1"/>
    </xf>
    <xf numFmtId="4" fontId="0" fillId="5" borderId="86" xfId="0" applyNumberFormat="1" applyFill="1" applyBorder="1" applyAlignment="1" applyProtection="1">
      <alignment vertical="center"/>
      <protection hidden="1"/>
    </xf>
    <xf numFmtId="0" fontId="1" fillId="5" borderId="41" xfId="0" applyFont="1" applyFill="1" applyBorder="1" applyAlignment="1" applyProtection="1">
      <alignment horizontal="center" vertical="center"/>
      <protection hidden="1"/>
    </xf>
    <xf numFmtId="0" fontId="1" fillId="5" borderId="0" xfId="0" applyFont="1" applyFill="1" applyBorder="1" applyAlignment="1" applyProtection="1">
      <alignment vertical="center"/>
      <protection hidden="1"/>
    </xf>
    <xf numFmtId="0" fontId="0" fillId="5" borderId="21" xfId="0" applyFill="1" applyBorder="1" applyProtection="1">
      <alignment vertical="center"/>
      <protection hidden="1"/>
    </xf>
    <xf numFmtId="0" fontId="0" fillId="5" borderId="5" xfId="0" applyFill="1" applyBorder="1" applyProtection="1">
      <alignment vertical="center"/>
      <protection hidden="1"/>
    </xf>
    <xf numFmtId="4" fontId="0" fillId="5" borderId="22" xfId="0" applyNumberFormat="1" applyFill="1" applyBorder="1" applyProtection="1">
      <alignment vertical="center"/>
      <protection hidden="1"/>
    </xf>
    <xf numFmtId="0" fontId="0" fillId="5" borderId="67" xfId="0" applyFill="1" applyBorder="1" applyAlignment="1" applyProtection="1">
      <alignment horizontal="right" vertical="center"/>
      <protection hidden="1"/>
    </xf>
    <xf numFmtId="0" fontId="1" fillId="5" borderId="46" xfId="0" applyFont="1" applyFill="1" applyBorder="1" applyAlignment="1" applyProtection="1">
      <alignment horizontal="left" vertical="center"/>
      <protection hidden="1"/>
    </xf>
    <xf numFmtId="4" fontId="0" fillId="5" borderId="21" xfId="0" applyNumberFormat="1" applyFill="1" applyBorder="1" applyProtection="1">
      <alignment vertical="center"/>
      <protection hidden="1"/>
    </xf>
    <xf numFmtId="0" fontId="0" fillId="5" borderId="64" xfId="0" applyFill="1" applyBorder="1" applyAlignment="1" applyProtection="1">
      <alignment horizontal="right" vertical="center"/>
      <protection hidden="1"/>
    </xf>
    <xf numFmtId="0" fontId="1" fillId="5" borderId="65" xfId="0" applyFont="1" applyFill="1" applyBorder="1" applyAlignment="1" applyProtection="1">
      <alignment horizontal="left" vertical="center"/>
      <protection hidden="1"/>
    </xf>
    <xf numFmtId="4" fontId="0" fillId="5" borderId="62" xfId="0" applyNumberFormat="1" applyFill="1" applyBorder="1" applyAlignment="1" applyProtection="1">
      <alignment horizontal="center" vertical="center"/>
      <protection hidden="1"/>
    </xf>
    <xf numFmtId="4" fontId="0" fillId="5" borderId="13" xfId="0" applyNumberFormat="1" applyFill="1" applyBorder="1" applyAlignment="1" applyProtection="1">
      <alignment horizontal="center" vertical="center"/>
      <protection hidden="1"/>
    </xf>
    <xf numFmtId="0" fontId="1" fillId="5" borderId="0"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1" fillId="5" borderId="12" xfId="0" applyFont="1" applyFill="1" applyBorder="1" applyAlignment="1" applyProtection="1">
      <alignment horizontal="center" vertical="center"/>
      <protection hidden="1"/>
    </xf>
    <xf numFmtId="0" fontId="0" fillId="7" borderId="78" xfId="0" applyFill="1" applyBorder="1" applyProtection="1">
      <alignment vertical="center"/>
      <protection hidden="1"/>
    </xf>
    <xf numFmtId="0" fontId="0" fillId="7" borderId="78" xfId="0" applyFill="1" applyBorder="1" applyAlignment="1" applyProtection="1">
      <alignment horizontal="center" vertical="center"/>
      <protection hidden="1"/>
    </xf>
    <xf numFmtId="0" fontId="0" fillId="7" borderId="86" xfId="0" applyFill="1" applyBorder="1" applyProtection="1">
      <alignment vertical="center"/>
      <protection hidden="1"/>
    </xf>
    <xf numFmtId="0" fontId="0" fillId="7" borderId="86" xfId="0" applyFill="1" applyBorder="1" applyAlignment="1" applyProtection="1">
      <alignment horizontal="center" vertical="center"/>
      <protection hidden="1"/>
    </xf>
    <xf numFmtId="0" fontId="0" fillId="7" borderId="20" xfId="0" applyFill="1" applyBorder="1" applyProtection="1">
      <alignment vertical="center"/>
      <protection hidden="1"/>
    </xf>
    <xf numFmtId="0" fontId="0" fillId="7" borderId="20" xfId="0" applyFill="1" applyBorder="1" applyAlignment="1" applyProtection="1">
      <alignment horizontal="center" vertical="center"/>
      <protection hidden="1"/>
    </xf>
    <xf numFmtId="0" fontId="0" fillId="7" borderId="44" xfId="0" applyFill="1" applyBorder="1" applyProtection="1">
      <alignment vertical="center"/>
      <protection hidden="1"/>
    </xf>
    <xf numFmtId="0" fontId="0" fillId="7" borderId="44" xfId="0" applyFill="1" applyBorder="1" applyAlignment="1" applyProtection="1">
      <alignment horizontal="center" vertical="center"/>
      <protection hidden="1"/>
    </xf>
    <xf numFmtId="0" fontId="0" fillId="7" borderId="58" xfId="0" applyFill="1" applyBorder="1" applyProtection="1">
      <alignment vertical="center"/>
      <protection hidden="1"/>
    </xf>
    <xf numFmtId="0" fontId="0" fillId="7" borderId="58" xfId="0" applyFill="1" applyBorder="1" applyAlignment="1" applyProtection="1">
      <alignment horizontal="center" vertical="center"/>
      <protection hidden="1"/>
    </xf>
    <xf numFmtId="0" fontId="0" fillId="7" borderId="81" xfId="0" applyFill="1" applyBorder="1" applyAlignment="1" applyProtection="1">
      <alignment horizontal="center" vertical="center"/>
      <protection hidden="1"/>
    </xf>
    <xf numFmtId="0" fontId="0" fillId="7" borderId="89" xfId="0" applyFill="1" applyBorder="1" applyAlignment="1" applyProtection="1">
      <alignment horizontal="center" vertical="center"/>
      <protection hidden="1"/>
    </xf>
    <xf numFmtId="0" fontId="0" fillId="7" borderId="92" xfId="0" applyFill="1" applyBorder="1" applyAlignment="1" applyProtection="1">
      <alignment horizontal="center" vertical="center"/>
      <protection hidden="1"/>
    </xf>
    <xf numFmtId="0" fontId="0" fillId="7" borderId="98" xfId="0" applyFill="1" applyBorder="1" applyAlignment="1" applyProtection="1">
      <alignment horizontal="center" vertical="center"/>
      <protection hidden="1"/>
    </xf>
    <xf numFmtId="0" fontId="0" fillId="7" borderId="22" xfId="0" applyFill="1" applyBorder="1" applyProtection="1">
      <alignment vertical="center"/>
      <protection hidden="1"/>
    </xf>
    <xf numFmtId="0" fontId="0" fillId="7" borderId="21" xfId="0" applyFill="1" applyBorder="1" applyProtection="1">
      <alignment vertical="center"/>
      <protection hidden="1"/>
    </xf>
    <xf numFmtId="0" fontId="1" fillId="5" borderId="0" xfId="0" applyFont="1" applyFill="1" applyBorder="1" applyAlignment="1" applyProtection="1">
      <alignment horizontal="left"/>
      <protection hidden="1"/>
    </xf>
    <xf numFmtId="0" fontId="0" fillId="5" borderId="22" xfId="0" applyFill="1" applyBorder="1" applyProtection="1">
      <alignment vertical="center"/>
      <protection hidden="1"/>
    </xf>
    <xf numFmtId="0" fontId="0" fillId="7" borderId="1" xfId="0" applyFill="1" applyBorder="1" applyProtection="1">
      <alignment vertical="center"/>
      <protection hidden="1"/>
    </xf>
    <xf numFmtId="0" fontId="0" fillId="5" borderId="1" xfId="0" applyFill="1" applyBorder="1" applyProtection="1">
      <alignment vertical="center"/>
      <protection hidden="1"/>
    </xf>
    <xf numFmtId="4" fontId="0" fillId="5" borderId="1" xfId="0" applyNumberFormat="1" applyFill="1" applyBorder="1" applyProtection="1">
      <alignment vertical="center"/>
      <protection hidden="1"/>
    </xf>
    <xf numFmtId="0" fontId="0" fillId="5" borderId="105" xfId="0" applyFill="1" applyBorder="1" applyAlignment="1" applyProtection="1">
      <alignment horizontal="right" vertical="center"/>
      <protection hidden="1"/>
    </xf>
    <xf numFmtId="0" fontId="1" fillId="5" borderId="77" xfId="0" applyFont="1" applyFill="1" applyBorder="1" applyAlignment="1" applyProtection="1">
      <alignment horizontal="left" vertical="center"/>
      <protection hidden="1"/>
    </xf>
    <xf numFmtId="0" fontId="1" fillId="5" borderId="21" xfId="0" applyNumberFormat="1" applyFont="1" applyFill="1" applyBorder="1" applyAlignment="1" applyProtection="1">
      <alignment vertical="center"/>
      <protection hidden="1"/>
    </xf>
    <xf numFmtId="176" fontId="0" fillId="5" borderId="61" xfId="0" applyNumberFormat="1" applyFill="1" applyBorder="1" applyAlignment="1" applyProtection="1">
      <alignment vertical="center"/>
      <protection hidden="1"/>
    </xf>
    <xf numFmtId="0" fontId="1" fillId="5" borderId="39" xfId="0" applyNumberFormat="1" applyFont="1" applyFill="1" applyBorder="1" applyAlignment="1" applyProtection="1">
      <alignment vertical="center"/>
      <protection hidden="1"/>
    </xf>
    <xf numFmtId="4" fontId="0" fillId="5" borderId="61" xfId="0" applyNumberFormat="1" applyFill="1" applyBorder="1" applyProtection="1">
      <alignment vertical="center"/>
      <protection hidden="1"/>
    </xf>
    <xf numFmtId="4" fontId="0" fillId="5" borderId="39" xfId="0" applyNumberFormat="1" applyFill="1" applyBorder="1" applyProtection="1">
      <alignment vertical="center"/>
      <protection hidden="1"/>
    </xf>
    <xf numFmtId="176" fontId="0" fillId="5" borderId="6" xfId="0" applyNumberFormat="1" applyFill="1" applyBorder="1" applyAlignment="1" applyProtection="1">
      <alignment vertical="center"/>
      <protection hidden="1"/>
    </xf>
    <xf numFmtId="0" fontId="1" fillId="5" borderId="10" xfId="0" applyNumberFormat="1" applyFont="1" applyFill="1" applyBorder="1" applyAlignment="1" applyProtection="1">
      <alignment vertical="center"/>
      <protection hidden="1"/>
    </xf>
    <xf numFmtId="4" fontId="0" fillId="5" borderId="6" xfId="0" applyNumberFormat="1" applyFill="1" applyBorder="1" applyProtection="1">
      <alignment vertical="center"/>
      <protection hidden="1"/>
    </xf>
    <xf numFmtId="4" fontId="0" fillId="5" borderId="10" xfId="0" applyNumberFormat="1" applyFill="1" applyBorder="1" applyProtection="1">
      <alignment vertical="center"/>
      <protection hidden="1"/>
    </xf>
    <xf numFmtId="176" fontId="0" fillId="5" borderId="62" xfId="0" applyNumberFormat="1" applyFill="1" applyBorder="1" applyAlignment="1" applyProtection="1">
      <alignment vertical="center"/>
      <protection hidden="1"/>
    </xf>
    <xf numFmtId="0" fontId="1" fillId="5" borderId="68" xfId="0" applyNumberFormat="1" applyFont="1" applyFill="1" applyBorder="1" applyAlignment="1" applyProtection="1">
      <alignment vertical="center"/>
      <protection hidden="1"/>
    </xf>
    <xf numFmtId="4" fontId="0" fillId="5" borderId="62" xfId="0" applyNumberFormat="1" applyFill="1" applyBorder="1" applyProtection="1">
      <alignment vertical="center"/>
      <protection hidden="1"/>
    </xf>
    <xf numFmtId="4" fontId="0" fillId="5" borderId="68" xfId="0" applyNumberFormat="1" applyFill="1" applyBorder="1" applyProtection="1">
      <alignment vertical="center"/>
      <protection hidden="1"/>
    </xf>
    <xf numFmtId="0" fontId="0" fillId="5" borderId="58" xfId="0" applyFill="1" applyBorder="1" applyAlignment="1" applyProtection="1">
      <alignment vertical="center"/>
      <protection hidden="1"/>
    </xf>
    <xf numFmtId="176" fontId="0" fillId="0" borderId="58" xfId="0" applyNumberFormat="1" applyBorder="1" applyAlignment="1" applyProtection="1">
      <alignment vertical="center"/>
      <protection locked="0"/>
    </xf>
    <xf numFmtId="0" fontId="1" fillId="5" borderId="58" xfId="0" applyNumberFormat="1" applyFont="1" applyFill="1" applyBorder="1" applyAlignment="1" applyProtection="1">
      <alignment vertical="center"/>
      <protection hidden="1"/>
    </xf>
    <xf numFmtId="4" fontId="0" fillId="0" borderId="58" xfId="0" applyNumberFormat="1" applyBorder="1" applyAlignment="1" applyProtection="1">
      <alignment vertical="center"/>
      <protection locked="0"/>
    </xf>
    <xf numFmtId="0" fontId="0" fillId="5" borderId="86" xfId="0" applyFill="1" applyBorder="1" applyAlignment="1" applyProtection="1">
      <alignment vertical="center"/>
      <protection hidden="1"/>
    </xf>
    <xf numFmtId="176" fontId="0" fillId="5" borderId="86" xfId="0" applyNumberFormat="1" applyFill="1" applyBorder="1" applyAlignment="1" applyProtection="1">
      <alignment horizontal="right" vertical="center"/>
      <protection hidden="1"/>
    </xf>
    <xf numFmtId="176" fontId="0" fillId="0" borderId="86" xfId="0" applyNumberFormat="1" applyBorder="1" applyAlignment="1" applyProtection="1">
      <alignment vertical="center"/>
      <protection locked="0"/>
    </xf>
    <xf numFmtId="0" fontId="0" fillId="5" borderId="84" xfId="0" applyFill="1" applyBorder="1" applyAlignment="1" applyProtection="1">
      <alignment vertical="center"/>
      <protection hidden="1"/>
    </xf>
    <xf numFmtId="0" fontId="0" fillId="5" borderId="86" xfId="0" applyFill="1" applyBorder="1" applyProtection="1">
      <alignment vertical="center"/>
      <protection hidden="1"/>
    </xf>
    <xf numFmtId="0" fontId="0" fillId="5" borderId="86" xfId="0" applyFill="1" applyBorder="1" applyAlignment="1" applyProtection="1">
      <alignment horizontal="center" vertical="center"/>
      <protection hidden="1"/>
    </xf>
    <xf numFmtId="4" fontId="0" fillId="5" borderId="86" xfId="0" applyNumberFormat="1" applyFill="1" applyBorder="1" applyProtection="1">
      <alignment vertical="center"/>
      <protection hidden="1"/>
    </xf>
    <xf numFmtId="0" fontId="0" fillId="5" borderId="20" xfId="0" applyFill="1" applyBorder="1" applyAlignment="1" applyProtection="1">
      <alignment vertical="center"/>
      <protection hidden="1"/>
    </xf>
    <xf numFmtId="176" fontId="0" fillId="0" borderId="20" xfId="0" applyNumberFormat="1" applyBorder="1" applyAlignment="1" applyProtection="1">
      <alignment vertical="center"/>
      <protection locked="0"/>
    </xf>
    <xf numFmtId="0" fontId="1" fillId="5" borderId="20" xfId="0" applyNumberFormat="1" applyFont="1" applyFill="1" applyBorder="1" applyAlignment="1" applyProtection="1">
      <alignment vertical="center"/>
      <protection hidden="1"/>
    </xf>
    <xf numFmtId="4" fontId="0" fillId="0" borderId="20" xfId="0" applyNumberFormat="1" applyBorder="1" applyAlignment="1" applyProtection="1">
      <alignment vertical="center"/>
      <protection locked="0"/>
    </xf>
    <xf numFmtId="0" fontId="0" fillId="5" borderId="44" xfId="0" applyFill="1" applyBorder="1" applyAlignment="1" applyProtection="1">
      <alignment vertical="center"/>
      <protection hidden="1"/>
    </xf>
    <xf numFmtId="0" fontId="0" fillId="5" borderId="95" xfId="0" applyFill="1" applyBorder="1" applyAlignment="1" applyProtection="1">
      <alignment vertical="center"/>
      <protection hidden="1"/>
    </xf>
    <xf numFmtId="0" fontId="0" fillId="5" borderId="44" xfId="0" applyFill="1" applyBorder="1" applyProtection="1">
      <alignment vertical="center"/>
      <protection hidden="1"/>
    </xf>
    <xf numFmtId="0" fontId="0" fillId="5" borderId="44" xfId="0" applyFill="1" applyBorder="1" applyAlignment="1" applyProtection="1">
      <alignment horizontal="center" vertical="center"/>
      <protection hidden="1"/>
    </xf>
    <xf numFmtId="4" fontId="0" fillId="5" borderId="44" xfId="0" applyNumberFormat="1" applyFill="1" applyBorder="1" applyProtection="1">
      <alignment vertical="center"/>
      <protection hidden="1"/>
    </xf>
    <xf numFmtId="0" fontId="1" fillId="5" borderId="100" xfId="0" applyFont="1" applyFill="1" applyBorder="1" applyAlignment="1" applyProtection="1">
      <alignment horizontal="left" vertical="center"/>
      <protection hidden="1"/>
    </xf>
    <xf numFmtId="0" fontId="1" fillId="5" borderId="91" xfId="0" applyFont="1" applyFill="1" applyBorder="1" applyAlignment="1" applyProtection="1">
      <alignment horizontal="left" vertical="center"/>
      <protection hidden="1"/>
    </xf>
    <xf numFmtId="0" fontId="1" fillId="5" borderId="94" xfId="0" applyFont="1" applyFill="1" applyBorder="1" applyAlignment="1" applyProtection="1">
      <alignment horizontal="left" vertical="center"/>
      <protection hidden="1"/>
    </xf>
    <xf numFmtId="176" fontId="0" fillId="0" borderId="39" xfId="0" applyNumberFormat="1" applyBorder="1" applyAlignment="1" applyProtection="1">
      <alignment vertical="center"/>
      <protection locked="0"/>
    </xf>
    <xf numFmtId="0" fontId="0" fillId="5" borderId="3" xfId="0" applyFill="1" applyBorder="1" applyProtection="1">
      <alignment vertical="center"/>
      <protection hidden="1"/>
    </xf>
    <xf numFmtId="0" fontId="0" fillId="5" borderId="16" xfId="0" applyFill="1" applyBorder="1" applyProtection="1">
      <alignment vertical="center"/>
      <protection hidden="1"/>
    </xf>
    <xf numFmtId="0" fontId="0" fillId="5" borderId="4" xfId="0" applyFill="1" applyBorder="1" applyProtection="1">
      <alignment vertical="center"/>
      <protection hidden="1"/>
    </xf>
    <xf numFmtId="0" fontId="0" fillId="5" borderId="14" xfId="0" applyFill="1" applyBorder="1" applyProtection="1">
      <alignment vertical="center"/>
      <protection hidden="1"/>
    </xf>
    <xf numFmtId="4" fontId="0" fillId="0" borderId="86" xfId="0" applyNumberFormat="1" applyBorder="1" applyAlignment="1" applyProtection="1">
      <alignment vertical="center"/>
      <protection locked="0"/>
    </xf>
    <xf numFmtId="0" fontId="0" fillId="5" borderId="0" xfId="0" applyFill="1" applyBorder="1" applyProtection="1">
      <alignment vertical="center"/>
      <protection hidden="1"/>
    </xf>
    <xf numFmtId="4" fontId="0" fillId="5" borderId="16" xfId="0" applyNumberFormat="1" applyFill="1" applyBorder="1" applyAlignment="1" applyProtection="1">
      <alignment vertical="center"/>
      <protection hidden="1"/>
    </xf>
    <xf numFmtId="4" fontId="0" fillId="5" borderId="13" xfId="0" applyNumberFormat="1" applyFill="1" applyBorder="1" applyAlignment="1" applyProtection="1">
      <alignment vertical="center"/>
      <protection hidden="1"/>
    </xf>
    <xf numFmtId="0" fontId="0" fillId="5" borderId="78" xfId="0" applyFill="1" applyBorder="1" applyProtection="1">
      <alignment vertical="center"/>
      <protection hidden="1"/>
    </xf>
    <xf numFmtId="0" fontId="0" fillId="5" borderId="12" xfId="0" applyFill="1" applyBorder="1" applyProtection="1">
      <alignment vertical="center"/>
      <protection hidden="1"/>
    </xf>
    <xf numFmtId="0" fontId="0" fillId="5" borderId="95" xfId="0" applyFill="1" applyBorder="1" applyAlignment="1" applyProtection="1">
      <alignment horizontal="center" vertical="center" wrapText="1"/>
      <protection hidden="1"/>
    </xf>
    <xf numFmtId="4" fontId="0" fillId="0" borderId="44" xfId="0" applyNumberFormat="1" applyFill="1" applyBorder="1" applyAlignment="1" applyProtection="1">
      <alignment vertical="center"/>
      <protection locked="0"/>
    </xf>
    <xf numFmtId="4" fontId="0" fillId="5" borderId="107" xfId="0" applyNumberFormat="1" applyFill="1" applyBorder="1" applyAlignment="1" applyProtection="1">
      <alignment horizontal="center" vertical="center"/>
      <protection hidden="1"/>
    </xf>
    <xf numFmtId="4" fontId="0" fillId="5" borderId="84" xfId="0" applyNumberFormat="1" applyFill="1" applyBorder="1" applyAlignment="1" applyProtection="1">
      <alignment horizontal="center" vertical="center"/>
      <protection hidden="1"/>
    </xf>
    <xf numFmtId="0" fontId="0" fillId="5" borderId="107" xfId="0" applyFill="1" applyBorder="1" applyAlignment="1" applyProtection="1">
      <alignment horizontal="center" vertical="center" wrapText="1"/>
      <protection hidden="1"/>
    </xf>
    <xf numFmtId="4" fontId="0" fillId="0" borderId="78" xfId="0" applyNumberFormat="1" applyFill="1" applyBorder="1" applyAlignment="1" applyProtection="1">
      <alignment vertical="center"/>
      <protection locked="0"/>
    </xf>
    <xf numFmtId="0" fontId="0" fillId="5" borderId="8" xfId="0" applyFill="1" applyBorder="1" applyProtection="1">
      <alignment vertical="center"/>
      <protection hidden="1"/>
    </xf>
    <xf numFmtId="4" fontId="0" fillId="5" borderId="106" xfId="0" applyNumberFormat="1" applyFill="1" applyBorder="1" applyAlignment="1" applyProtection="1">
      <alignment horizontal="center" vertical="center"/>
      <protection hidden="1"/>
    </xf>
    <xf numFmtId="4" fontId="0" fillId="0" borderId="20" xfId="0" applyNumberFormat="1" applyFill="1" applyBorder="1" applyProtection="1">
      <alignment vertical="center"/>
      <protection locked="0"/>
    </xf>
    <xf numFmtId="4" fontId="0" fillId="0" borderId="20" xfId="0" applyNumberFormat="1" applyFill="1" applyBorder="1" applyAlignment="1" applyProtection="1">
      <alignment horizontal="right" vertical="center"/>
      <protection locked="0"/>
    </xf>
    <xf numFmtId="0" fontId="1" fillId="5" borderId="12" xfId="0" applyFont="1" applyFill="1" applyBorder="1" applyAlignment="1" applyProtection="1">
      <alignment vertical="center"/>
      <protection hidden="1"/>
    </xf>
    <xf numFmtId="4" fontId="0" fillId="5" borderId="86" xfId="0" applyNumberFormat="1" applyFill="1" applyBorder="1" applyAlignment="1" applyProtection="1">
      <alignment horizontal="right" vertical="center"/>
      <protection hidden="1"/>
    </xf>
    <xf numFmtId="0" fontId="1" fillId="5" borderId="11" xfId="0" applyFont="1" applyFill="1" applyBorder="1" applyAlignment="1" applyProtection="1">
      <alignment horizontal="left" vertical="center"/>
      <protection hidden="1"/>
    </xf>
    <xf numFmtId="0" fontId="1" fillId="5" borderId="62" xfId="0" applyNumberFormat="1" applyFont="1" applyFill="1" applyBorder="1" applyAlignment="1" applyProtection="1">
      <alignment horizontal="center"/>
      <protection hidden="1"/>
    </xf>
    <xf numFmtId="4" fontId="0" fillId="5" borderId="7" xfId="0" applyNumberFormat="1" applyFill="1" applyBorder="1" applyAlignment="1" applyProtection="1">
      <alignment horizontal="right" vertical="center"/>
      <protection hidden="1"/>
    </xf>
    <xf numFmtId="0" fontId="0" fillId="5" borderId="108" xfId="0" applyFill="1" applyBorder="1" applyAlignment="1" applyProtection="1">
      <alignment horizontal="center" vertical="center"/>
      <protection hidden="1"/>
    </xf>
    <xf numFmtId="4" fontId="0" fillId="5" borderId="11" xfId="0" applyNumberFormat="1" applyFill="1" applyBorder="1" applyProtection="1">
      <alignment vertical="center"/>
      <protection hidden="1"/>
    </xf>
    <xf numFmtId="4" fontId="0" fillId="5" borderId="0" xfId="0" applyNumberFormat="1" applyFill="1" applyBorder="1" applyProtection="1">
      <alignment vertical="center"/>
      <protection hidden="1"/>
    </xf>
    <xf numFmtId="4" fontId="0" fillId="5" borderId="0" xfId="0" applyNumberFormat="1" applyFill="1" applyBorder="1" applyAlignment="1" applyProtection="1">
      <alignment horizontal="right" vertical="center"/>
      <protection hidden="1"/>
    </xf>
    <xf numFmtId="0" fontId="0" fillId="4" borderId="62" xfId="0" applyFill="1" applyBorder="1" applyAlignment="1" applyProtection="1">
      <alignment vertical="center"/>
      <protection hidden="1"/>
    </xf>
    <xf numFmtId="4" fontId="0" fillId="5" borderId="16" xfId="0" applyNumberFormat="1" applyFill="1" applyBorder="1" applyProtection="1">
      <alignment vertical="center"/>
      <protection hidden="1"/>
    </xf>
    <xf numFmtId="4" fontId="0" fillId="5" borderId="7" xfId="0" applyNumberFormat="1" applyFill="1" applyBorder="1" applyProtection="1">
      <alignment vertical="center"/>
      <protection hidden="1"/>
    </xf>
    <xf numFmtId="0" fontId="0" fillId="0" borderId="58" xfId="0" applyFill="1" applyBorder="1" applyAlignment="1" applyProtection="1">
      <alignment vertical="center"/>
      <protection locked="0"/>
    </xf>
    <xf numFmtId="0" fontId="0" fillId="0" borderId="86" xfId="0" applyFill="1" applyBorder="1" applyAlignment="1" applyProtection="1">
      <alignment vertical="center"/>
      <protection locked="0"/>
    </xf>
    <xf numFmtId="0" fontId="0" fillId="0" borderId="20" xfId="0" applyFill="1" applyBorder="1" applyAlignment="1" applyProtection="1">
      <alignment vertical="center"/>
      <protection locked="0"/>
    </xf>
    <xf numFmtId="0" fontId="0" fillId="0" borderId="44" xfId="0" applyFill="1" applyBorder="1" applyAlignment="1" applyProtection="1">
      <alignment vertical="center"/>
      <protection locked="0"/>
    </xf>
    <xf numFmtId="4" fontId="0" fillId="0" borderId="86" xfId="0" applyNumberFormat="1" applyBorder="1" applyProtection="1">
      <alignment vertical="center"/>
      <protection locked="0"/>
    </xf>
    <xf numFmtId="4" fontId="0" fillId="0" borderId="86" xfId="0" applyNumberFormat="1" applyFill="1" applyBorder="1" applyProtection="1">
      <alignment vertical="center"/>
      <protection locked="0"/>
    </xf>
    <xf numFmtId="0" fontId="1" fillId="5" borderId="38" xfId="0" applyNumberFormat="1" applyFont="1" applyFill="1" applyBorder="1" applyAlignment="1" applyProtection="1">
      <alignment vertical="center"/>
      <protection hidden="1"/>
    </xf>
    <xf numFmtId="0" fontId="0" fillId="7" borderId="20" xfId="0" applyFill="1" applyBorder="1" applyAlignment="1" applyProtection="1">
      <alignment vertical="center"/>
      <protection hidden="1"/>
    </xf>
    <xf numFmtId="0" fontId="0" fillId="7" borderId="86" xfId="0" applyFill="1" applyBorder="1" applyAlignment="1" applyProtection="1">
      <alignment vertical="center"/>
      <protection hidden="1"/>
    </xf>
    <xf numFmtId="4" fontId="0" fillId="0" borderId="7" xfId="0" applyNumberFormat="1" applyFill="1" applyBorder="1" applyProtection="1">
      <alignment vertical="center"/>
      <protection hidden="1"/>
    </xf>
    <xf numFmtId="0" fontId="0" fillId="2" borderId="4" xfId="0" applyFill="1" applyBorder="1" applyProtection="1">
      <alignment vertical="center"/>
      <protection hidden="1"/>
    </xf>
    <xf numFmtId="0" fontId="0" fillId="2" borderId="78" xfId="0" applyFill="1" applyBorder="1" applyProtection="1">
      <alignment vertical="center"/>
      <protection hidden="1"/>
    </xf>
    <xf numFmtId="4" fontId="0" fillId="0" borderId="38" xfId="0" applyNumberFormat="1" applyBorder="1" applyAlignment="1" applyProtection="1">
      <alignment vertical="center"/>
      <protection hidden="1"/>
    </xf>
    <xf numFmtId="0" fontId="0" fillId="2" borderId="38" xfId="0" applyFill="1" applyBorder="1" applyAlignment="1" applyProtection="1">
      <alignment vertical="center"/>
      <protection hidden="1"/>
    </xf>
    <xf numFmtId="0" fontId="0" fillId="2" borderId="20" xfId="0" applyFill="1" applyBorder="1" applyAlignment="1" applyProtection="1">
      <alignment vertical="center"/>
      <protection hidden="1"/>
    </xf>
    <xf numFmtId="0" fontId="0" fillId="2" borderId="17" xfId="0" applyFill="1" applyBorder="1" applyAlignment="1" applyProtection="1">
      <alignment vertical="center"/>
      <protection hidden="1"/>
    </xf>
    <xf numFmtId="176" fontId="0" fillId="0" borderId="38" xfId="0" applyNumberFormat="1" applyBorder="1" applyAlignment="1" applyProtection="1">
      <alignment vertical="center"/>
      <protection hidden="1"/>
    </xf>
    <xf numFmtId="176" fontId="0" fillId="0" borderId="17" xfId="0" applyNumberFormat="1" applyBorder="1" applyAlignment="1" applyProtection="1">
      <alignment vertical="center"/>
      <protection hidden="1"/>
    </xf>
    <xf numFmtId="176" fontId="0" fillId="0" borderId="0" xfId="0" applyNumberFormat="1" applyFill="1" applyBorder="1" applyAlignment="1" applyProtection="1">
      <alignment vertical="center"/>
      <protection hidden="1"/>
    </xf>
    <xf numFmtId="4" fontId="0" fillId="0" borderId="0" xfId="0" applyNumberFormat="1" applyFill="1" applyBorder="1" applyAlignment="1" applyProtection="1">
      <alignment vertical="center"/>
      <protection hidden="1"/>
    </xf>
    <xf numFmtId="0" fontId="0" fillId="0" borderId="0" xfId="0" applyAlignment="1" applyProtection="1">
      <alignment horizontal="center" vertical="center"/>
      <protection hidden="1"/>
    </xf>
    <xf numFmtId="0" fontId="0" fillId="0" borderId="78" xfId="0" applyFill="1" applyBorder="1" applyAlignment="1" applyProtection="1">
      <alignment horizontal="center" vertical="center"/>
      <protection hidden="1"/>
    </xf>
    <xf numFmtId="176" fontId="0" fillId="0" borderId="78" xfId="0" applyNumberFormat="1" applyFill="1" applyBorder="1" applyAlignment="1" applyProtection="1">
      <alignment horizontal="right" vertical="center"/>
      <protection hidden="1"/>
    </xf>
    <xf numFmtId="176" fontId="0" fillId="2" borderId="78" xfId="0" applyNumberFormat="1" applyFill="1" applyBorder="1" applyProtection="1">
      <alignment vertical="center"/>
      <protection hidden="1"/>
    </xf>
    <xf numFmtId="0" fontId="0" fillId="0" borderId="86" xfId="0" applyFill="1" applyBorder="1" applyAlignment="1" applyProtection="1">
      <alignment horizontal="center" vertical="center"/>
      <protection hidden="1"/>
    </xf>
    <xf numFmtId="176" fontId="0" fillId="0" borderId="86" xfId="0" applyNumberFormat="1" applyFill="1" applyBorder="1" applyAlignment="1" applyProtection="1">
      <alignment horizontal="right" vertical="center"/>
      <protection hidden="1"/>
    </xf>
    <xf numFmtId="176" fontId="0" fillId="2" borderId="86" xfId="0" applyNumberFormat="1" applyFill="1" applyBorder="1" applyProtection="1">
      <alignment vertical="center"/>
      <protection hidden="1"/>
    </xf>
    <xf numFmtId="0" fontId="0" fillId="0" borderId="20" xfId="0" applyFill="1" applyBorder="1" applyAlignment="1" applyProtection="1">
      <alignment horizontal="center" vertical="center"/>
      <protection hidden="1"/>
    </xf>
    <xf numFmtId="176" fontId="0" fillId="0" borderId="20" xfId="0" applyNumberFormat="1" applyFill="1" applyBorder="1" applyAlignment="1" applyProtection="1">
      <alignment horizontal="right" vertical="center"/>
      <protection hidden="1"/>
    </xf>
    <xf numFmtId="176" fontId="0" fillId="2" borderId="20" xfId="0" applyNumberFormat="1" applyFill="1" applyBorder="1" applyProtection="1">
      <alignment vertical="center"/>
      <protection hidden="1"/>
    </xf>
    <xf numFmtId="176" fontId="0" fillId="0" borderId="7" xfId="0" applyNumberFormat="1" applyFill="1" applyBorder="1" applyAlignment="1" applyProtection="1">
      <alignment horizontal="right" vertical="center"/>
      <protection hidden="1"/>
    </xf>
    <xf numFmtId="176" fontId="0" fillId="0" borderId="7" xfId="0" applyNumberFormat="1" applyFill="1" applyBorder="1" applyProtection="1">
      <alignment vertical="center"/>
      <protection hidden="1"/>
    </xf>
    <xf numFmtId="176" fontId="0" fillId="0" borderId="79" xfId="0" applyNumberFormat="1" applyFill="1" applyBorder="1" applyAlignment="1" applyProtection="1">
      <alignment horizontal="right" vertical="center"/>
      <protection hidden="1"/>
    </xf>
    <xf numFmtId="4" fontId="0" fillId="0" borderId="80" xfId="0" applyNumberFormat="1" applyFill="1" applyBorder="1" applyAlignment="1" applyProtection="1">
      <alignment horizontal="right" vertical="center"/>
      <protection hidden="1"/>
    </xf>
    <xf numFmtId="0" fontId="0" fillId="0" borderId="56" xfId="0" applyBorder="1" applyProtection="1">
      <alignment vertical="center"/>
      <protection hidden="1"/>
    </xf>
    <xf numFmtId="4" fontId="0" fillId="0" borderId="57" xfId="0" applyNumberFormat="1" applyBorder="1" applyProtection="1">
      <alignment vertical="center"/>
      <protection hidden="1"/>
    </xf>
    <xf numFmtId="176" fontId="0" fillId="0" borderId="87" xfId="0" applyNumberFormat="1" applyFill="1" applyBorder="1" applyAlignment="1" applyProtection="1">
      <alignment horizontal="right" vertical="center"/>
      <protection hidden="1"/>
    </xf>
    <xf numFmtId="4" fontId="0" fillId="0" borderId="88" xfId="0" applyNumberFormat="1" applyFill="1" applyBorder="1" applyAlignment="1" applyProtection="1">
      <alignment horizontal="right" vertical="center"/>
      <protection hidden="1"/>
    </xf>
    <xf numFmtId="0" fontId="0" fillId="0" borderId="87" xfId="0" applyBorder="1" applyProtection="1">
      <alignment vertical="center"/>
      <protection hidden="1"/>
    </xf>
    <xf numFmtId="4" fontId="0" fillId="0" borderId="88" xfId="0" applyNumberFormat="1" applyBorder="1" applyProtection="1">
      <alignment vertical="center"/>
      <protection hidden="1"/>
    </xf>
    <xf numFmtId="176" fontId="0" fillId="0" borderId="54" xfId="0" applyNumberFormat="1" applyFill="1" applyBorder="1" applyAlignment="1" applyProtection="1">
      <alignment horizontal="right" vertical="center"/>
      <protection hidden="1"/>
    </xf>
    <xf numFmtId="4" fontId="0" fillId="0" borderId="19" xfId="0" applyNumberFormat="1" applyFill="1" applyBorder="1" applyAlignment="1" applyProtection="1">
      <alignment horizontal="right" vertical="center"/>
      <protection hidden="1"/>
    </xf>
    <xf numFmtId="0" fontId="0" fillId="0" borderId="54" xfId="0" applyBorder="1" applyProtection="1">
      <alignment vertical="center"/>
      <protection hidden="1"/>
    </xf>
    <xf numFmtId="4" fontId="0" fillId="0" borderId="19" xfId="0" applyNumberFormat="1" applyBorder="1" applyProtection="1">
      <alignment vertical="center"/>
      <protection hidden="1"/>
    </xf>
    <xf numFmtId="176" fontId="0" fillId="0" borderId="55" xfId="0" applyNumberFormat="1" applyFill="1" applyBorder="1" applyAlignment="1" applyProtection="1">
      <alignment horizontal="right" vertical="center"/>
      <protection hidden="1"/>
    </xf>
    <xf numFmtId="4" fontId="0" fillId="0" borderId="43" xfId="0" applyNumberFormat="1" applyFill="1" applyBorder="1" applyAlignment="1" applyProtection="1">
      <alignment horizontal="right" vertical="center"/>
      <protection hidden="1"/>
    </xf>
    <xf numFmtId="0" fontId="0" fillId="0" borderId="55" xfId="0" applyBorder="1" applyProtection="1">
      <alignment vertical="center"/>
      <protection hidden="1"/>
    </xf>
    <xf numFmtId="4" fontId="0" fillId="0" borderId="43" xfId="0" applyNumberFormat="1" applyBorder="1" applyProtection="1">
      <alignment vertical="center"/>
      <protection hidden="1"/>
    </xf>
    <xf numFmtId="0" fontId="0" fillId="0" borderId="0" xfId="0" applyAlignment="1" applyProtection="1">
      <alignment horizontal="right" vertical="center"/>
      <protection hidden="1"/>
    </xf>
    <xf numFmtId="0" fontId="0" fillId="5" borderId="66" xfId="0" applyFill="1" applyBorder="1" applyProtection="1">
      <alignment vertical="center"/>
      <protection hidden="1"/>
    </xf>
    <xf numFmtId="0" fontId="0" fillId="5" borderId="108" xfId="0" applyFill="1" applyBorder="1" applyProtection="1">
      <alignment vertical="center"/>
      <protection hidden="1"/>
    </xf>
    <xf numFmtId="0" fontId="0" fillId="5" borderId="42" xfId="0" applyFill="1" applyBorder="1" applyProtection="1">
      <alignment vertical="center"/>
      <protection hidden="1"/>
    </xf>
    <xf numFmtId="0" fontId="0" fillId="5" borderId="29" xfId="0" applyFill="1" applyBorder="1" applyAlignment="1" applyProtection="1">
      <alignment horizontal="center" vertical="center"/>
      <protection hidden="1"/>
    </xf>
    <xf numFmtId="4" fontId="0" fillId="0" borderId="17" xfId="0" applyNumberFormat="1" applyBorder="1" applyAlignment="1" applyProtection="1">
      <alignment vertical="center"/>
      <protection hidden="1"/>
    </xf>
    <xf numFmtId="0" fontId="0" fillId="8" borderId="84" xfId="0" applyFill="1" applyBorder="1" applyAlignment="1" applyProtection="1">
      <alignment horizontal="center" vertical="center"/>
      <protection hidden="1"/>
    </xf>
    <xf numFmtId="0" fontId="0" fillId="8" borderId="85"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7" xfId="0" applyFill="1" applyBorder="1" applyAlignment="1" applyProtection="1">
      <alignment vertical="center"/>
      <protection hidden="1"/>
    </xf>
    <xf numFmtId="0" fontId="0" fillId="5" borderId="21" xfId="0" applyFill="1" applyBorder="1" applyAlignment="1" applyProtection="1">
      <alignment horizontal="center" vertical="center" wrapText="1"/>
      <protection hidden="1"/>
    </xf>
    <xf numFmtId="0" fontId="0" fillId="4" borderId="36" xfId="0" applyFill="1" applyBorder="1" applyAlignment="1" applyProtection="1">
      <alignment vertical="center"/>
      <protection hidden="1"/>
    </xf>
    <xf numFmtId="0" fontId="0" fillId="0" borderId="0" xfId="0" applyAlignment="1" applyProtection="1">
      <alignment vertical="center"/>
      <protection hidden="1"/>
    </xf>
    <xf numFmtId="0" fontId="1" fillId="0" borderId="0" xfId="0" applyNumberFormat="1"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4" fontId="1" fillId="0" borderId="0" xfId="0" applyNumberFormat="1" applyFont="1" applyBorder="1" applyAlignment="1" applyProtection="1">
      <alignment vertical="center"/>
      <protection hidden="1"/>
    </xf>
    <xf numFmtId="0" fontId="0" fillId="0" borderId="0" xfId="0" quotePrefix="1" applyFill="1" applyBorder="1" applyAlignment="1" applyProtection="1">
      <alignment vertical="center"/>
      <protection hidden="1"/>
    </xf>
    <xf numFmtId="0" fontId="1" fillId="0" borderId="0" xfId="0" applyNumberFormat="1" applyFont="1" applyFill="1" applyBorder="1" applyAlignment="1" applyProtection="1">
      <alignment vertical="center"/>
      <protection hidden="1"/>
    </xf>
    <xf numFmtId="0" fontId="0" fillId="0" borderId="0" xfId="0"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76" fontId="0" fillId="0" borderId="0" xfId="0" applyNumberFormat="1" applyFill="1" applyBorder="1" applyAlignment="1" applyProtection="1">
      <alignment horizontal="right" vertical="center"/>
      <protection hidden="1"/>
    </xf>
    <xf numFmtId="0" fontId="0" fillId="0" borderId="0" xfId="0" quotePrefix="1" applyFill="1" applyBorder="1" applyAlignment="1" applyProtection="1">
      <alignment horizontal="center" vertical="center"/>
      <protection hidden="1"/>
    </xf>
    <xf numFmtId="4" fontId="0" fillId="0" borderId="0" xfId="0" applyNumberFormat="1" applyFill="1" applyBorder="1" applyAlignment="1" applyProtection="1">
      <alignment horizontal="center" vertical="center"/>
      <protection hidden="1"/>
    </xf>
    <xf numFmtId="176" fontId="1" fillId="0" borderId="0" xfId="0" applyNumberFormat="1" applyFont="1" applyBorder="1" applyAlignment="1" applyProtection="1">
      <alignment vertical="center"/>
      <protection hidden="1"/>
    </xf>
    <xf numFmtId="176" fontId="21"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0" fillId="0" borderId="0" xfId="0" applyFill="1" applyBorder="1" applyAlignment="1" applyProtection="1">
      <alignment horizontal="left" vertical="center"/>
      <protection hidden="1"/>
    </xf>
    <xf numFmtId="0" fontId="10" fillId="5" borderId="26" xfId="0" applyFont="1" applyFill="1" applyBorder="1" applyProtection="1">
      <alignment vertical="center"/>
      <protection hidden="1"/>
    </xf>
    <xf numFmtId="0" fontId="1" fillId="5" borderId="0" xfId="0" applyFont="1" applyFill="1" applyProtection="1">
      <alignment vertical="center"/>
      <protection hidden="1"/>
    </xf>
    <xf numFmtId="0" fontId="0" fillId="0" borderId="0" xfId="0" applyFont="1" applyProtection="1">
      <alignment vertical="center"/>
      <protection hidden="1"/>
    </xf>
    <xf numFmtId="0" fontId="0" fillId="10" borderId="1" xfId="0" applyFill="1" applyBorder="1" applyAlignment="1" applyProtection="1">
      <alignment horizontal="center" vertical="center"/>
      <protection hidden="1"/>
    </xf>
    <xf numFmtId="0" fontId="0" fillId="0" borderId="0" xfId="0" applyNumberFormat="1" applyFill="1" applyBorder="1" applyAlignment="1" applyProtection="1">
      <alignment horizontal="center"/>
      <protection hidden="1"/>
    </xf>
    <xf numFmtId="4" fontId="0" fillId="0" borderId="13" xfId="0" applyNumberFormat="1" applyBorder="1" applyAlignment="1" applyProtection="1">
      <alignment vertical="center"/>
      <protection locked="0"/>
    </xf>
    <xf numFmtId="176" fontId="0" fillId="0" borderId="113" xfId="0" applyNumberFormat="1" applyFill="1" applyBorder="1" applyAlignment="1" applyProtection="1">
      <alignment horizontal="right" vertical="center"/>
      <protection locked="0"/>
    </xf>
    <xf numFmtId="0" fontId="0" fillId="5" borderId="115" xfId="0" applyFill="1" applyBorder="1" applyAlignment="1" applyProtection="1">
      <alignment horizontal="right" vertical="center"/>
      <protection hidden="1"/>
    </xf>
    <xf numFmtId="0" fontId="0" fillId="5" borderId="116" xfId="0" applyFill="1" applyBorder="1" applyAlignment="1" applyProtection="1">
      <alignment horizontal="left" vertical="center"/>
      <protection hidden="1"/>
    </xf>
    <xf numFmtId="0" fontId="0" fillId="5" borderId="1" xfId="0" quotePrefix="1" applyFill="1" applyBorder="1" applyAlignment="1" applyProtection="1">
      <alignment horizontal="center" vertical="center"/>
      <protection hidden="1"/>
    </xf>
    <xf numFmtId="0" fontId="1" fillId="5" borderId="1" xfId="0" applyNumberFormat="1" applyFont="1" applyFill="1" applyBorder="1" applyAlignment="1" applyProtection="1">
      <alignment horizontal="center"/>
      <protection hidden="1"/>
    </xf>
    <xf numFmtId="0" fontId="0" fillId="5" borderId="0" xfId="0" applyFill="1" applyBorder="1" applyProtection="1">
      <alignment vertical="center"/>
      <protection locked="0"/>
    </xf>
    <xf numFmtId="0" fontId="0" fillId="5" borderId="0" xfId="0" applyFill="1" applyBorder="1" applyAlignment="1" applyProtection="1">
      <alignment horizontal="right" vertical="center"/>
      <protection hidden="1"/>
    </xf>
    <xf numFmtId="0" fontId="0" fillId="5" borderId="47" xfId="0" applyFill="1" applyBorder="1" applyAlignment="1" applyProtection="1">
      <alignment horizontal="left" vertical="center"/>
      <protection hidden="1"/>
    </xf>
    <xf numFmtId="4" fontId="0" fillId="5" borderId="5" xfId="0" applyNumberFormat="1" applyFill="1" applyBorder="1" applyAlignment="1" applyProtection="1">
      <alignment horizontal="right" vertical="center"/>
      <protection hidden="1"/>
    </xf>
    <xf numFmtId="4" fontId="0" fillId="5" borderId="5" xfId="0" applyNumberFormat="1" applyFill="1" applyBorder="1" applyProtection="1">
      <alignment vertical="center"/>
      <protection hidden="1"/>
    </xf>
    <xf numFmtId="0" fontId="0" fillId="5" borderId="5" xfId="0" applyFill="1" applyBorder="1" applyAlignment="1" applyProtection="1">
      <alignment horizontal="right" vertical="center"/>
      <protection hidden="1"/>
    </xf>
    <xf numFmtId="0" fontId="0" fillId="5" borderId="48" xfId="0" applyFill="1" applyBorder="1" applyAlignment="1" applyProtection="1">
      <alignment horizontal="left" vertical="center"/>
      <protection hidden="1"/>
    </xf>
    <xf numFmtId="176" fontId="0" fillId="0" borderId="80" xfId="0" applyNumberFormat="1" applyFill="1" applyBorder="1" applyAlignment="1" applyProtection="1">
      <alignment horizontal="right" vertical="center"/>
      <protection locked="0"/>
    </xf>
    <xf numFmtId="176" fontId="0" fillId="0" borderId="114" xfId="0" applyNumberFormat="1" applyFill="1" applyBorder="1" applyAlignment="1" applyProtection="1">
      <alignment horizontal="right" vertical="center"/>
      <protection locked="0"/>
    </xf>
    <xf numFmtId="176" fontId="0" fillId="0" borderId="57" xfId="0" applyNumberFormat="1" applyBorder="1" applyProtection="1">
      <alignment vertical="center"/>
      <protection locked="0"/>
    </xf>
    <xf numFmtId="176" fontId="0" fillId="0" borderId="114" xfId="0" applyNumberFormat="1" applyBorder="1" applyProtection="1">
      <alignment vertical="center"/>
      <protection locked="0"/>
    </xf>
    <xf numFmtId="176" fontId="0" fillId="0" borderId="56" xfId="0" applyNumberFormat="1" applyBorder="1" applyProtection="1">
      <alignment vertical="center"/>
      <protection locked="0"/>
    </xf>
    <xf numFmtId="176" fontId="0" fillId="0" borderId="113" xfId="0" applyNumberFormat="1" applyBorder="1" applyProtection="1">
      <alignment vertical="center"/>
      <protection locked="0"/>
    </xf>
    <xf numFmtId="176" fontId="0" fillId="0" borderId="88" xfId="0" applyNumberFormat="1" applyFill="1" applyBorder="1" applyAlignment="1" applyProtection="1">
      <alignment horizontal="right" vertical="center"/>
      <protection locked="0"/>
    </xf>
    <xf numFmtId="176" fontId="0" fillId="0" borderId="87" xfId="0" applyNumberFormat="1" applyBorder="1" applyProtection="1">
      <alignment vertical="center"/>
      <protection locked="0"/>
    </xf>
    <xf numFmtId="176" fontId="0" fillId="0" borderId="88" xfId="0" applyNumberFormat="1" applyBorder="1" applyProtection="1">
      <alignment vertical="center"/>
      <protection locked="0"/>
    </xf>
    <xf numFmtId="0" fontId="0" fillId="0" borderId="0" xfId="0" applyFill="1" applyBorder="1" applyAlignment="1" applyProtection="1">
      <alignment vertical="center" wrapText="1"/>
      <protection hidden="1"/>
    </xf>
    <xf numFmtId="0" fontId="0" fillId="0" borderId="0" xfId="0" applyAlignment="1" applyProtection="1">
      <alignment horizontal="left" vertical="center"/>
      <protection hidden="1"/>
    </xf>
    <xf numFmtId="0" fontId="0" fillId="4" borderId="75" xfId="0" applyFill="1" applyBorder="1" applyAlignment="1" applyProtection="1">
      <alignment vertical="center"/>
      <protection hidden="1"/>
    </xf>
    <xf numFmtId="0" fontId="0" fillId="0" borderId="127" xfId="0" applyFill="1" applyBorder="1" applyAlignment="1" applyProtection="1">
      <alignment vertical="center"/>
      <protection locked="0"/>
    </xf>
    <xf numFmtId="0" fontId="0" fillId="0" borderId="128" xfId="0" applyFill="1" applyBorder="1" applyAlignment="1" applyProtection="1">
      <alignment vertical="center"/>
      <protection locked="0"/>
    </xf>
    <xf numFmtId="0" fontId="0" fillId="5" borderId="112" xfId="0" applyFill="1" applyBorder="1" applyAlignment="1" applyProtection="1">
      <alignment horizontal="center" vertical="center"/>
      <protection hidden="1"/>
    </xf>
    <xf numFmtId="0" fontId="0" fillId="0" borderId="112" xfId="0" applyFill="1" applyBorder="1" applyProtection="1">
      <alignment vertical="center"/>
      <protection hidden="1"/>
    </xf>
    <xf numFmtId="0" fontId="1" fillId="0" borderId="112" xfId="0" applyNumberFormat="1" applyFont="1" applyFill="1" applyBorder="1" applyAlignment="1" applyProtection="1">
      <alignment horizontal="center"/>
      <protection hidden="1"/>
    </xf>
    <xf numFmtId="0" fontId="1" fillId="0" borderId="112" xfId="0" applyNumberFormat="1" applyFont="1" applyFill="1" applyBorder="1" applyAlignment="1" applyProtection="1">
      <alignment horizontal="right"/>
      <protection hidden="1"/>
    </xf>
    <xf numFmtId="176" fontId="0" fillId="0" borderId="79" xfId="0" applyNumberFormat="1" applyBorder="1" applyProtection="1">
      <alignment vertical="center"/>
      <protection locked="0"/>
    </xf>
    <xf numFmtId="176" fontId="0" fillId="0" borderId="80" xfId="0" applyNumberFormat="1" applyBorder="1" applyProtection="1">
      <alignment vertical="center"/>
      <protection locked="0"/>
    </xf>
    <xf numFmtId="0" fontId="0" fillId="0" borderId="78" xfId="0" applyFill="1" applyBorder="1" applyAlignment="1" applyProtection="1">
      <alignment vertical="center"/>
      <protection locked="0"/>
    </xf>
    <xf numFmtId="176" fontId="0" fillId="0" borderId="57" xfId="0" applyNumberFormat="1" applyFill="1" applyBorder="1" applyAlignment="1" applyProtection="1">
      <alignment horizontal="right" vertical="center"/>
      <protection locked="0"/>
    </xf>
    <xf numFmtId="4" fontId="0" fillId="0" borderId="123" xfId="0" applyNumberFormat="1" applyBorder="1" applyAlignment="1" applyProtection="1">
      <alignment vertical="center"/>
      <protection locked="0"/>
    </xf>
    <xf numFmtId="0" fontId="0" fillId="0" borderId="129" xfId="0" applyFill="1" applyBorder="1" applyAlignment="1" applyProtection="1">
      <alignment vertical="center"/>
      <protection locked="0"/>
    </xf>
    <xf numFmtId="0" fontId="0" fillId="5" borderId="118" xfId="0" applyFill="1" applyBorder="1" applyAlignment="1" applyProtection="1">
      <alignment horizontal="center" vertical="center"/>
      <protection hidden="1"/>
    </xf>
    <xf numFmtId="0" fontId="0" fillId="5" borderId="118" xfId="0" applyFill="1" applyBorder="1" applyProtection="1">
      <alignment vertical="center"/>
      <protection hidden="1"/>
    </xf>
    <xf numFmtId="4" fontId="0" fillId="5" borderId="118" xfId="0" applyNumberFormat="1" applyFill="1" applyBorder="1" applyAlignment="1" applyProtection="1">
      <alignment horizontal="right" vertical="center"/>
      <protection hidden="1"/>
    </xf>
    <xf numFmtId="4" fontId="0" fillId="5" borderId="118" xfId="0" applyNumberFormat="1" applyFill="1" applyBorder="1" applyProtection="1">
      <alignment vertical="center"/>
      <protection hidden="1"/>
    </xf>
    <xf numFmtId="0" fontId="0" fillId="5" borderId="118" xfId="0" applyFill="1" applyBorder="1" applyAlignment="1" applyProtection="1">
      <alignment horizontal="right" vertical="center"/>
      <protection hidden="1"/>
    </xf>
    <xf numFmtId="0" fontId="0" fillId="5" borderId="125" xfId="0" applyFill="1" applyBorder="1" applyAlignment="1" applyProtection="1">
      <alignment horizontal="left" vertical="center"/>
      <protection hidden="1"/>
    </xf>
    <xf numFmtId="0" fontId="0" fillId="5" borderId="126" xfId="0" quotePrefix="1" applyFill="1" applyBorder="1" applyAlignment="1" applyProtection="1">
      <alignment horizontal="left" vertical="center"/>
      <protection hidden="1"/>
    </xf>
    <xf numFmtId="0" fontId="0" fillId="5" borderId="126" xfId="0" applyFill="1" applyBorder="1" applyProtection="1">
      <alignment vertical="center"/>
      <protection hidden="1"/>
    </xf>
    <xf numFmtId="0" fontId="0" fillId="4" borderId="34" xfId="0" applyFill="1" applyBorder="1" applyAlignment="1" applyProtection="1">
      <alignment vertical="center"/>
      <protection hidden="1"/>
    </xf>
    <xf numFmtId="0" fontId="0" fillId="5" borderId="21" xfId="0" applyFill="1" applyBorder="1" applyAlignment="1" applyProtection="1">
      <alignment horizontal="center" vertical="center"/>
      <protection hidden="1"/>
    </xf>
    <xf numFmtId="4" fontId="0" fillId="0" borderId="21" xfId="0" applyNumberFormat="1" applyBorder="1" applyProtection="1">
      <alignment vertical="center"/>
      <protection locked="0"/>
    </xf>
    <xf numFmtId="0" fontId="0" fillId="5" borderId="119" xfId="0" applyFill="1" applyBorder="1" applyAlignment="1" applyProtection="1">
      <alignment vertical="center"/>
      <protection hidden="1"/>
    </xf>
    <xf numFmtId="176" fontId="0" fillId="5" borderId="118" xfId="0" applyNumberFormat="1" applyFill="1" applyBorder="1" applyAlignment="1" applyProtection="1">
      <alignment horizontal="right" vertical="center"/>
      <protection hidden="1"/>
    </xf>
    <xf numFmtId="176" fontId="0" fillId="5" borderId="0" xfId="0" applyNumberFormat="1" applyFill="1" applyBorder="1" applyAlignment="1" applyProtection="1">
      <alignment horizontal="right" vertical="center"/>
      <protection hidden="1"/>
    </xf>
    <xf numFmtId="184" fontId="0" fillId="5" borderId="112" xfId="0" applyNumberFormat="1" applyFill="1" applyBorder="1" applyAlignment="1" applyProtection="1">
      <alignment vertical="center"/>
      <protection hidden="1"/>
    </xf>
    <xf numFmtId="4" fontId="0" fillId="5" borderId="21" xfId="0" applyNumberFormat="1" applyFill="1" applyBorder="1" applyAlignment="1" applyProtection="1">
      <alignment horizontal="center" vertical="center"/>
      <protection hidden="1"/>
    </xf>
    <xf numFmtId="0" fontId="0" fillId="5" borderId="62" xfId="0" applyFill="1" applyBorder="1" applyProtection="1">
      <alignment vertical="center"/>
      <protection hidden="1"/>
    </xf>
    <xf numFmtId="176" fontId="0" fillId="5" borderId="5" xfId="0" applyNumberFormat="1" applyFill="1" applyBorder="1" applyAlignment="1" applyProtection="1">
      <alignment horizontal="right" vertical="center"/>
      <protection hidden="1"/>
    </xf>
    <xf numFmtId="176" fontId="0" fillId="5" borderId="5" xfId="0" applyNumberFormat="1" applyFill="1" applyBorder="1" applyProtection="1">
      <alignment vertical="center"/>
      <protection hidden="1"/>
    </xf>
    <xf numFmtId="0" fontId="0" fillId="5" borderId="125" xfId="0" applyFill="1" applyBorder="1" applyProtection="1">
      <alignment vertical="center"/>
      <protection hidden="1"/>
    </xf>
    <xf numFmtId="184" fontId="0" fillId="5" borderId="112" xfId="0" applyNumberFormat="1" applyFill="1" applyBorder="1" applyAlignment="1" applyProtection="1">
      <alignment horizontal="center" vertical="center"/>
      <protection hidden="1"/>
    </xf>
    <xf numFmtId="4" fontId="0" fillId="5" borderId="112" xfId="0" applyNumberFormat="1" applyFill="1" applyBorder="1" applyAlignment="1" applyProtection="1">
      <alignment horizontal="center" vertical="center"/>
      <protection hidden="1"/>
    </xf>
    <xf numFmtId="4" fontId="0" fillId="5" borderId="29" xfId="0" applyNumberFormat="1" applyFill="1" applyBorder="1" applyAlignment="1" applyProtection="1">
      <alignment horizontal="center" vertical="center"/>
      <protection hidden="1"/>
    </xf>
    <xf numFmtId="0" fontId="0" fillId="5" borderId="117" xfId="0" applyFill="1" applyBorder="1" applyProtection="1">
      <alignment vertical="center"/>
      <protection hidden="1"/>
    </xf>
    <xf numFmtId="4" fontId="0" fillId="0" borderId="121" xfId="0" applyNumberFormat="1" applyBorder="1" applyProtection="1">
      <alignment vertical="center"/>
      <protection locked="0"/>
    </xf>
    <xf numFmtId="4" fontId="0" fillId="0" borderId="17" xfId="0" applyNumberFormat="1" applyBorder="1" applyProtection="1">
      <alignment vertical="center"/>
      <protection locked="0"/>
    </xf>
    <xf numFmtId="4" fontId="0" fillId="0" borderId="9" xfId="0" applyNumberFormat="1" applyBorder="1" applyProtection="1">
      <alignment vertical="center"/>
      <protection locked="0"/>
    </xf>
    <xf numFmtId="0" fontId="0" fillId="5" borderId="1"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0" fillId="5" borderId="0" xfId="0" applyFill="1" applyAlignment="1" applyProtection="1">
      <alignment horizontal="right"/>
      <protection hidden="1"/>
    </xf>
    <xf numFmtId="0" fontId="0" fillId="5" borderId="0" xfId="0" applyFill="1" applyAlignment="1" applyProtection="1">
      <alignment horizontal="center"/>
      <protection hidden="1"/>
    </xf>
    <xf numFmtId="0" fontId="1" fillId="5" borderId="0" xfId="0" applyNumberFormat="1" applyFont="1" applyFill="1" applyBorder="1" applyAlignment="1" applyProtection="1">
      <protection hidden="1"/>
    </xf>
    <xf numFmtId="0" fontId="1" fillId="5" borderId="0" xfId="0" applyNumberFormat="1" applyFont="1" applyFill="1" applyAlignment="1" applyProtection="1">
      <protection hidden="1"/>
    </xf>
    <xf numFmtId="3" fontId="0" fillId="5" borderId="0" xfId="0" applyNumberFormat="1" applyFill="1" applyAlignment="1" applyProtection="1">
      <protection hidden="1"/>
    </xf>
    <xf numFmtId="3" fontId="0" fillId="5" borderId="0" xfId="0" applyNumberFormat="1" applyFill="1" applyAlignment="1" applyProtection="1">
      <alignment horizontal="right"/>
      <protection hidden="1"/>
    </xf>
    <xf numFmtId="0" fontId="0" fillId="5" borderId="0" xfId="0" applyFill="1" applyAlignment="1" applyProtection="1">
      <alignment horizontal="left"/>
      <protection hidden="1"/>
    </xf>
    <xf numFmtId="3" fontId="0" fillId="5" borderId="0" xfId="0" applyNumberFormat="1" applyFill="1" applyProtection="1">
      <alignment vertical="center"/>
      <protection hidden="1"/>
    </xf>
    <xf numFmtId="0" fontId="0" fillId="5" borderId="0" xfId="0" applyNumberFormat="1" applyFill="1" applyAlignment="1" applyProtection="1">
      <protection hidden="1"/>
    </xf>
    <xf numFmtId="176" fontId="1" fillId="5" borderId="0" xfId="0" applyNumberFormat="1" applyFont="1" applyFill="1" applyAlignment="1" applyProtection="1">
      <protection hidden="1"/>
    </xf>
    <xf numFmtId="0" fontId="0" fillId="5" borderId="1" xfId="0" applyFill="1" applyBorder="1" applyAlignment="1" applyProtection="1">
      <alignment horizontal="center"/>
      <protection hidden="1"/>
    </xf>
    <xf numFmtId="0" fontId="0" fillId="5" borderId="0" xfId="0" applyFill="1" applyBorder="1" applyAlignment="1" applyProtection="1">
      <protection hidden="1"/>
    </xf>
    <xf numFmtId="0" fontId="0" fillId="5" borderId="1" xfId="0" applyFill="1" applyBorder="1" applyAlignment="1" applyProtection="1">
      <protection hidden="1"/>
    </xf>
    <xf numFmtId="0" fontId="0" fillId="5" borderId="0" xfId="0" applyFill="1" applyBorder="1" applyAlignment="1" applyProtection="1">
      <alignment horizontal="left"/>
      <protection hidden="1"/>
    </xf>
    <xf numFmtId="0" fontId="0" fillId="5" borderId="0" xfId="0" applyNumberFormat="1" applyFill="1" applyProtection="1">
      <alignment vertical="center"/>
      <protection hidden="1"/>
    </xf>
    <xf numFmtId="0" fontId="0" fillId="5" borderId="0" xfId="0" applyFill="1" applyBorder="1" applyAlignment="1" applyProtection="1">
      <alignment horizontal="center"/>
      <protection hidden="1"/>
    </xf>
    <xf numFmtId="0" fontId="0" fillId="5" borderId="0" xfId="0" applyNumberFormat="1" applyFill="1" applyBorder="1" applyAlignment="1" applyProtection="1">
      <alignment horizontal="center"/>
      <protection hidden="1"/>
    </xf>
    <xf numFmtId="3" fontId="0" fillId="5" borderId="1" xfId="0" applyNumberFormat="1" applyFill="1" applyBorder="1" applyProtection="1">
      <alignment vertical="center"/>
      <protection hidden="1"/>
    </xf>
    <xf numFmtId="3" fontId="1" fillId="5" borderId="1" xfId="0" applyNumberFormat="1" applyFont="1" applyFill="1" applyBorder="1" applyAlignment="1" applyProtection="1">
      <protection hidden="1"/>
    </xf>
    <xf numFmtId="3" fontId="1" fillId="5" borderId="0" xfId="0" applyNumberFormat="1" applyFont="1" applyFill="1" applyBorder="1" applyAlignment="1" applyProtection="1">
      <protection hidden="1"/>
    </xf>
    <xf numFmtId="3" fontId="0" fillId="5" borderId="0" xfId="0" applyNumberFormat="1" applyFill="1" applyBorder="1" applyAlignment="1" applyProtection="1">
      <alignment horizontal="center"/>
      <protection hidden="1"/>
    </xf>
    <xf numFmtId="3" fontId="0" fillId="5" borderId="0" xfId="0" applyNumberFormat="1" applyFill="1" applyBorder="1" applyProtection="1">
      <alignment vertical="center"/>
      <protection hidden="1"/>
    </xf>
    <xf numFmtId="0" fontId="1" fillId="5" borderId="0" xfId="0" applyFont="1" applyFill="1" applyBorder="1" applyAlignment="1" applyProtection="1">
      <alignment horizontal="right"/>
      <protection hidden="1"/>
    </xf>
    <xf numFmtId="176" fontId="1" fillId="5" borderId="0" xfId="0" applyNumberFormat="1" applyFont="1" applyFill="1" applyBorder="1" applyAlignment="1" applyProtection="1">
      <alignment horizontal="center"/>
      <protection hidden="1"/>
    </xf>
    <xf numFmtId="0" fontId="0" fillId="5" borderId="9" xfId="0" applyFill="1" applyBorder="1" applyProtection="1">
      <alignment vertical="center"/>
      <protection hidden="1"/>
    </xf>
    <xf numFmtId="0" fontId="0" fillId="5" borderId="10" xfId="0" applyNumberFormat="1" applyFill="1" applyBorder="1" applyAlignment="1" applyProtection="1">
      <protection hidden="1"/>
    </xf>
    <xf numFmtId="0" fontId="1" fillId="5" borderId="0" xfId="0" applyFont="1" applyFill="1" applyBorder="1" applyProtection="1">
      <alignment vertical="center"/>
      <protection hidden="1"/>
    </xf>
    <xf numFmtId="0" fontId="0" fillId="5" borderId="12" xfId="0" applyNumberFormat="1" applyFill="1" applyBorder="1" applyAlignment="1" applyProtection="1">
      <protection hidden="1"/>
    </xf>
    <xf numFmtId="2" fontId="1" fillId="5" borderId="0" xfId="0" applyNumberFormat="1" applyFont="1" applyFill="1" applyBorder="1" applyAlignment="1" applyProtection="1">
      <alignment horizontal="left"/>
      <protection hidden="1"/>
    </xf>
    <xf numFmtId="178" fontId="1" fillId="5" borderId="0" xfId="0" applyNumberFormat="1" applyFont="1" applyFill="1" applyBorder="1" applyProtection="1">
      <alignment vertical="center"/>
      <protection hidden="1"/>
    </xf>
    <xf numFmtId="0" fontId="0" fillId="5" borderId="15" xfId="0" applyNumberFormat="1" applyFill="1" applyBorder="1" applyAlignment="1" applyProtection="1">
      <protection hidden="1"/>
    </xf>
    <xf numFmtId="178" fontId="1" fillId="5" borderId="0" xfId="0" applyNumberFormat="1" applyFont="1" applyFill="1" applyBorder="1" applyAlignment="1" applyProtection="1">
      <alignment horizontal="left"/>
      <protection hidden="1"/>
    </xf>
    <xf numFmtId="0" fontId="1" fillId="5" borderId="0" xfId="0" applyFont="1" applyFill="1" applyBorder="1" applyAlignment="1" applyProtection="1">
      <alignment horizontal="center"/>
      <protection hidden="1"/>
    </xf>
    <xf numFmtId="0" fontId="1" fillId="5" borderId="0" xfId="0" applyFont="1" applyFill="1" applyBorder="1" applyAlignment="1" applyProtection="1">
      <alignment horizontal="left" vertical="center"/>
      <protection hidden="1"/>
    </xf>
    <xf numFmtId="178" fontId="1" fillId="5" borderId="0" xfId="0" applyNumberFormat="1" applyFont="1" applyFill="1" applyBorder="1" applyAlignment="1" applyProtection="1">
      <alignment horizontal="left" vertical="center"/>
      <protection hidden="1"/>
    </xf>
    <xf numFmtId="180" fontId="1" fillId="5" borderId="0" xfId="1" applyNumberFormat="1" applyFont="1" applyFill="1" applyBorder="1" applyAlignment="1" applyProtection="1">
      <protection hidden="1"/>
    </xf>
    <xf numFmtId="0" fontId="0" fillId="5" borderId="0" xfId="0" applyFill="1" applyBorder="1" applyAlignment="1" applyProtection="1">
      <alignment horizontal="right"/>
      <protection hidden="1"/>
    </xf>
    <xf numFmtId="0" fontId="8" fillId="5" borderId="0" xfId="0" applyFont="1" applyFill="1" applyBorder="1" applyAlignment="1" applyProtection="1">
      <alignment horizontal="center"/>
      <protection hidden="1"/>
    </xf>
    <xf numFmtId="0" fontId="9" fillId="5" borderId="0" xfId="0" applyFont="1" applyFill="1" applyBorder="1" applyProtection="1">
      <alignment vertical="center"/>
      <protection hidden="1"/>
    </xf>
    <xf numFmtId="0" fontId="7" fillId="5" borderId="0" xfId="0" applyFont="1" applyFill="1" applyProtection="1">
      <alignment vertical="center"/>
      <protection hidden="1"/>
    </xf>
    <xf numFmtId="0" fontId="0" fillId="5" borderId="0" xfId="0" quotePrefix="1" applyFill="1" applyBorder="1" applyProtection="1">
      <alignment vertical="center"/>
      <protection hidden="1"/>
    </xf>
    <xf numFmtId="0" fontId="0" fillId="5" borderId="0" xfId="0" applyNumberFormat="1" applyFill="1" applyBorder="1" applyAlignment="1" applyProtection="1">
      <protection hidden="1"/>
    </xf>
    <xf numFmtId="177" fontId="0" fillId="5" borderId="0" xfId="0" applyNumberFormat="1" applyFill="1" applyBorder="1" applyProtection="1">
      <alignment vertical="center"/>
      <protection hidden="1"/>
    </xf>
    <xf numFmtId="0" fontId="0" fillId="9" borderId="1" xfId="0" applyFill="1" applyBorder="1" applyProtection="1">
      <alignment vertical="center"/>
      <protection locked="0"/>
    </xf>
    <xf numFmtId="0" fontId="0" fillId="5" borderId="0" xfId="0" applyNumberFormat="1" applyFill="1" applyBorder="1" applyAlignment="1" applyProtection="1">
      <alignment vertical="center"/>
      <protection hidden="1"/>
    </xf>
    <xf numFmtId="0" fontId="0" fillId="5" borderId="0" xfId="0" applyNumberFormat="1" applyFill="1" applyBorder="1" applyProtection="1">
      <alignment vertical="center"/>
      <protection hidden="1"/>
    </xf>
    <xf numFmtId="0" fontId="1" fillId="5" borderId="0" xfId="0" applyNumberFormat="1" applyFont="1" applyFill="1" applyBorder="1" applyAlignment="1" applyProtection="1">
      <alignment horizontal="center"/>
      <protection hidden="1"/>
    </xf>
    <xf numFmtId="0" fontId="0" fillId="5" borderId="6" xfId="0" applyNumberFormat="1" applyFill="1" applyBorder="1" applyProtection="1">
      <alignment vertical="center"/>
      <protection hidden="1"/>
    </xf>
    <xf numFmtId="0" fontId="1" fillId="5" borderId="6" xfId="0" applyNumberFormat="1" applyFont="1" applyFill="1" applyBorder="1" applyAlignment="1" applyProtection="1">
      <protection hidden="1"/>
    </xf>
    <xf numFmtId="0" fontId="1" fillId="5" borderId="6" xfId="0" applyFont="1" applyFill="1" applyBorder="1" applyAlignment="1" applyProtection="1">
      <alignment horizontal="left" vertical="center"/>
      <protection hidden="1"/>
    </xf>
    <xf numFmtId="0" fontId="1" fillId="5" borderId="11" xfId="0" applyNumberFormat="1" applyFont="1" applyFill="1" applyBorder="1" applyAlignment="1" applyProtection="1">
      <alignment horizontal="left" vertical="center"/>
      <protection hidden="1"/>
    </xf>
    <xf numFmtId="0" fontId="1" fillId="5" borderId="11" xfId="0" applyNumberFormat="1" applyFont="1" applyFill="1" applyBorder="1" applyAlignment="1" applyProtection="1">
      <protection hidden="1"/>
    </xf>
    <xf numFmtId="0" fontId="1" fillId="5" borderId="11" xfId="0" applyFont="1" applyFill="1" applyBorder="1" applyAlignment="1" applyProtection="1">
      <alignment horizontal="left"/>
      <protection hidden="1"/>
    </xf>
    <xf numFmtId="0" fontId="1" fillId="5" borderId="13" xfId="0" applyFont="1" applyFill="1" applyBorder="1" applyAlignment="1" applyProtection="1">
      <alignment horizontal="left" vertical="center"/>
      <protection hidden="1"/>
    </xf>
    <xf numFmtId="0" fontId="1" fillId="5" borderId="13" xfId="0" applyNumberFormat="1" applyFont="1" applyFill="1" applyBorder="1" applyAlignment="1" applyProtection="1">
      <protection hidden="1"/>
    </xf>
    <xf numFmtId="0" fontId="1" fillId="5" borderId="0" xfId="0" applyFont="1" applyFill="1" applyBorder="1" applyAlignment="1" applyProtection="1">
      <alignment horizontal="right" vertical="center"/>
      <protection hidden="1"/>
    </xf>
    <xf numFmtId="177" fontId="1" fillId="5" borderId="0" xfId="0" applyNumberFormat="1" applyFont="1" applyFill="1" applyBorder="1" applyProtection="1">
      <alignment vertical="center"/>
      <protection hidden="1"/>
    </xf>
    <xf numFmtId="177" fontId="8" fillId="5" borderId="0" xfId="0" applyNumberFormat="1" applyFont="1" applyFill="1" applyBorder="1" applyProtection="1">
      <alignment vertical="center"/>
      <protection hidden="1"/>
    </xf>
    <xf numFmtId="0" fontId="0" fillId="5" borderId="1" xfId="0" applyNumberFormat="1" applyFill="1" applyBorder="1" applyAlignment="1" applyProtection="1">
      <protection hidden="1"/>
    </xf>
    <xf numFmtId="4" fontId="0" fillId="0" borderId="121" xfId="0" applyNumberFormat="1" applyBorder="1" applyAlignment="1" applyProtection="1">
      <alignment vertical="center"/>
      <protection hidden="1"/>
    </xf>
    <xf numFmtId="0" fontId="0" fillId="5" borderId="123" xfId="0" applyFill="1" applyBorder="1" applyProtection="1">
      <alignment vertical="center"/>
      <protection hidden="1"/>
    </xf>
    <xf numFmtId="0" fontId="0" fillId="5" borderId="13" xfId="0" applyFill="1" applyBorder="1" applyProtection="1">
      <alignment vertical="center"/>
      <protection hidden="1"/>
    </xf>
    <xf numFmtId="0" fontId="0" fillId="5" borderId="15" xfId="0" applyFill="1" applyBorder="1" applyProtection="1">
      <alignment vertical="center"/>
      <protection hidden="1"/>
    </xf>
    <xf numFmtId="0" fontId="0" fillId="5" borderId="124" xfId="0" applyFill="1" applyBorder="1" applyProtection="1">
      <alignment vertical="center"/>
      <protection hidden="1"/>
    </xf>
    <xf numFmtId="3" fontId="0" fillId="5" borderId="123" xfId="0" applyNumberFormat="1" applyFill="1" applyBorder="1" applyProtection="1">
      <alignment vertical="center"/>
      <protection hidden="1"/>
    </xf>
    <xf numFmtId="176" fontId="0" fillId="5" borderId="112" xfId="0" applyNumberFormat="1" applyFill="1" applyBorder="1" applyProtection="1">
      <alignment vertical="center"/>
      <protection hidden="1"/>
    </xf>
    <xf numFmtId="0" fontId="0" fillId="5" borderId="112" xfId="0" applyFill="1" applyBorder="1" applyProtection="1">
      <alignment vertical="center"/>
      <protection hidden="1"/>
    </xf>
    <xf numFmtId="4" fontId="0" fillId="5" borderId="112" xfId="0" applyNumberFormat="1" applyFill="1" applyBorder="1" applyProtection="1">
      <alignment vertical="center"/>
      <protection hidden="1"/>
    </xf>
    <xf numFmtId="176" fontId="0" fillId="5" borderId="112" xfId="0" applyNumberFormat="1" applyFill="1" applyBorder="1" applyAlignment="1" applyProtection="1">
      <alignment horizontal="center" vertical="center"/>
      <protection hidden="1"/>
    </xf>
    <xf numFmtId="0" fontId="0" fillId="0" borderId="112" xfId="0" applyBorder="1" applyProtection="1">
      <alignment vertical="center"/>
      <protection hidden="1"/>
    </xf>
    <xf numFmtId="4" fontId="0" fillId="5" borderId="123" xfId="0" applyNumberFormat="1" applyFill="1" applyBorder="1" applyProtection="1">
      <alignment vertical="center"/>
      <protection hidden="1"/>
    </xf>
    <xf numFmtId="3" fontId="0" fillId="5" borderId="112" xfId="0" applyNumberFormat="1" applyFill="1" applyBorder="1" applyProtection="1">
      <alignment vertical="center"/>
      <protection hidden="1"/>
    </xf>
    <xf numFmtId="0" fontId="0" fillId="0" borderId="121" xfId="0" applyBorder="1" applyProtection="1">
      <alignment vertical="center"/>
      <protection hidden="1"/>
    </xf>
    <xf numFmtId="0" fontId="0" fillId="0" borderId="112" xfId="0" applyFont="1" applyBorder="1" applyProtection="1">
      <alignment vertical="center"/>
      <protection hidden="1"/>
    </xf>
    <xf numFmtId="0" fontId="0" fillId="5" borderId="62" xfId="0" applyFill="1" applyBorder="1" applyAlignment="1" applyProtection="1">
      <alignment horizontal="center" vertical="center"/>
      <protection hidden="1"/>
    </xf>
    <xf numFmtId="0" fontId="10" fillId="5" borderId="21" xfId="0" applyFont="1" applyFill="1" applyBorder="1" applyAlignment="1" applyProtection="1">
      <alignment horizontal="center" vertical="center"/>
      <protection hidden="1"/>
    </xf>
    <xf numFmtId="176" fontId="0" fillId="0" borderId="0" xfId="0" applyNumberFormat="1" applyBorder="1" applyAlignment="1" applyProtection="1">
      <alignment vertical="center"/>
      <protection hidden="1"/>
    </xf>
    <xf numFmtId="4" fontId="0" fillId="0" borderId="0" xfId="0" applyNumberFormat="1" applyBorder="1" applyAlignment="1" applyProtection="1">
      <alignment vertical="center"/>
      <protection hidden="1"/>
    </xf>
    <xf numFmtId="0" fontId="0" fillId="0" borderId="17" xfId="0" applyBorder="1" applyProtection="1">
      <alignment vertical="center"/>
      <protection hidden="1"/>
    </xf>
    <xf numFmtId="4" fontId="0" fillId="0" borderId="118" xfId="0" applyNumberFormat="1" applyBorder="1" applyAlignment="1" applyProtection="1">
      <alignment vertical="center"/>
      <protection hidden="1"/>
    </xf>
    <xf numFmtId="0" fontId="2" fillId="0" borderId="0" xfId="0" applyFont="1" applyProtection="1">
      <alignment vertical="center"/>
      <protection hidden="1"/>
    </xf>
    <xf numFmtId="0" fontId="1" fillId="5" borderId="1" xfId="0" applyNumberFormat="1" applyFont="1" applyFill="1" applyBorder="1" applyAlignment="1" applyProtection="1">
      <alignment vertical="center"/>
      <protection hidden="1"/>
    </xf>
    <xf numFmtId="0" fontId="0" fillId="5" borderId="1" xfId="0" applyFill="1" applyBorder="1" applyAlignment="1" applyProtection="1">
      <alignment vertical="center"/>
      <protection hidden="1"/>
    </xf>
    <xf numFmtId="0" fontId="0" fillId="5" borderId="13" xfId="0" applyFill="1" applyBorder="1" applyAlignment="1" applyProtection="1">
      <alignment horizontal="center" vertical="center"/>
      <protection hidden="1"/>
    </xf>
    <xf numFmtId="0" fontId="0" fillId="5" borderId="6" xfId="0" applyFill="1" applyBorder="1" applyAlignment="1" applyProtection="1">
      <alignment horizontal="center" vertical="center"/>
      <protection hidden="1"/>
    </xf>
    <xf numFmtId="0" fontId="0" fillId="5" borderId="61" xfId="0" applyFill="1" applyBorder="1" applyAlignment="1" applyProtection="1">
      <alignment horizontal="center" vertical="center"/>
      <protection hidden="1"/>
    </xf>
    <xf numFmtId="0" fontId="0" fillId="5" borderId="21" xfId="0" applyFill="1" applyBorder="1" applyAlignment="1" applyProtection="1">
      <alignment vertical="center"/>
      <protection hidden="1"/>
    </xf>
    <xf numFmtId="0" fontId="0" fillId="5" borderId="2"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0" fontId="0" fillId="5" borderId="22" xfId="0" applyFill="1" applyBorder="1" applyAlignment="1" applyProtection="1">
      <alignment horizontal="center" vertical="center"/>
      <protection hidden="1"/>
    </xf>
    <xf numFmtId="0" fontId="0" fillId="5" borderId="17" xfId="0" applyFill="1" applyBorder="1" applyAlignment="1" applyProtection="1">
      <alignment horizontal="center" vertical="center"/>
      <protection hidden="1"/>
    </xf>
    <xf numFmtId="0" fontId="0" fillId="4" borderId="1" xfId="0" applyFill="1" applyBorder="1" applyAlignment="1" applyProtection="1">
      <alignment vertical="center"/>
      <protection hidden="1"/>
    </xf>
    <xf numFmtId="0" fontId="0" fillId="4" borderId="21" xfId="0" applyFill="1" applyBorder="1" applyAlignment="1" applyProtection="1">
      <alignment vertical="center"/>
      <protection hidden="1"/>
    </xf>
    <xf numFmtId="0" fontId="1" fillId="5" borderId="22" xfId="0" applyNumberFormat="1" applyFont="1" applyFill="1" applyBorder="1" applyAlignment="1" applyProtection="1">
      <alignment vertical="center"/>
      <protection hidden="1"/>
    </xf>
    <xf numFmtId="0" fontId="0" fillId="5" borderId="38" xfId="0" applyFill="1" applyBorder="1" applyAlignment="1" applyProtection="1">
      <alignment horizontal="center" vertical="center"/>
      <protection hidden="1"/>
    </xf>
    <xf numFmtId="0" fontId="0" fillId="5" borderId="112" xfId="0" applyFill="1" applyBorder="1" applyAlignment="1" applyProtection="1">
      <alignment vertical="center"/>
      <protection hidden="1"/>
    </xf>
    <xf numFmtId="0" fontId="0" fillId="5" borderId="22" xfId="0"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4" fontId="0" fillId="0" borderId="2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0" fillId="5" borderId="0" xfId="0" applyFill="1" applyBorder="1" applyAlignment="1" applyProtection="1">
      <alignment vertical="center"/>
      <protection hidden="1"/>
    </xf>
    <xf numFmtId="0" fontId="0" fillId="5" borderId="4" xfId="0" applyFill="1" applyBorder="1" applyAlignment="1" applyProtection="1">
      <alignment vertical="center"/>
      <protection hidden="1"/>
    </xf>
    <xf numFmtId="0" fontId="0" fillId="5" borderId="21" xfId="0" applyFill="1" applyBorder="1" applyAlignment="1" applyProtection="1">
      <alignment horizontal="center" vertical="center" wrapText="1"/>
      <protection hidden="1"/>
    </xf>
    <xf numFmtId="176" fontId="0" fillId="0" borderId="1" xfId="0" applyNumberFormat="1" applyBorder="1" applyAlignment="1" applyProtection="1">
      <alignment vertical="center"/>
      <protection locked="0"/>
    </xf>
    <xf numFmtId="176" fontId="0" fillId="5" borderId="1" xfId="0" applyNumberFormat="1" applyFill="1" applyBorder="1" applyAlignment="1" applyProtection="1">
      <alignment vertical="center"/>
      <protection hidden="1"/>
    </xf>
    <xf numFmtId="176" fontId="0" fillId="0" borderId="21" xfId="0" applyNumberFormat="1" applyBorder="1" applyAlignment="1" applyProtection="1">
      <alignment vertical="center"/>
      <protection locked="0"/>
    </xf>
    <xf numFmtId="4" fontId="0" fillId="0" borderId="21" xfId="0" applyNumberFormat="1" applyBorder="1" applyAlignment="1" applyProtection="1">
      <alignment vertical="center"/>
      <protection locked="0"/>
    </xf>
    <xf numFmtId="0" fontId="0" fillId="5" borderId="1" xfId="0" applyFill="1" applyBorder="1" applyAlignment="1" applyProtection="1">
      <alignment horizontal="center" vertical="center"/>
      <protection hidden="1"/>
    </xf>
    <xf numFmtId="0" fontId="0" fillId="7" borderId="6" xfId="0"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5" borderId="47" xfId="0" applyFill="1" applyBorder="1" applyAlignment="1" applyProtection="1">
      <alignment horizontal="center" vertical="center"/>
      <protection hidden="1"/>
    </xf>
    <xf numFmtId="176" fontId="0" fillId="0" borderId="22" xfId="0" applyNumberFormat="1" applyBorder="1" applyAlignment="1" applyProtection="1">
      <alignment vertical="center"/>
      <protection locked="0"/>
    </xf>
    <xf numFmtId="0" fontId="0" fillId="10" borderId="6" xfId="0" applyFill="1" applyBorder="1" applyAlignment="1" applyProtection="1">
      <alignment horizontal="center" vertical="center"/>
      <protection hidden="1"/>
    </xf>
    <xf numFmtId="0" fontId="0" fillId="5" borderId="123" xfId="0" applyFill="1" applyBorder="1" applyAlignment="1" applyProtection="1">
      <alignment horizontal="center" vertical="center"/>
      <protection hidden="1"/>
    </xf>
    <xf numFmtId="0" fontId="0" fillId="5" borderId="5"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0" fillId="5" borderId="0" xfId="0" applyFill="1" applyBorder="1" applyAlignment="1" applyProtection="1">
      <alignment vertical="center" wrapText="1"/>
      <protection hidden="1"/>
    </xf>
    <xf numFmtId="0" fontId="0" fillId="5" borderId="0" xfId="0" applyFill="1" applyBorder="1" applyAlignment="1" applyProtection="1">
      <alignment horizontal="left" vertical="center"/>
      <protection hidden="1"/>
    </xf>
    <xf numFmtId="176" fontId="0" fillId="0" borderId="120" xfId="0" applyNumberFormat="1" applyFill="1" applyBorder="1" applyAlignment="1" applyProtection="1">
      <alignment horizontal="center" vertical="center"/>
      <protection hidden="1"/>
    </xf>
    <xf numFmtId="176" fontId="0" fillId="0" borderId="0" xfId="0" applyNumberFormat="1" applyFill="1" applyBorder="1" applyAlignment="1" applyProtection="1">
      <alignment horizontal="center" vertical="center"/>
      <protection hidden="1"/>
    </xf>
    <xf numFmtId="0" fontId="0" fillId="0" borderId="120" xfId="0" applyFill="1" applyBorder="1" applyAlignment="1" applyProtection="1">
      <alignment horizontal="center" vertical="center"/>
      <protection hidden="1"/>
    </xf>
    <xf numFmtId="0" fontId="0" fillId="0" borderId="120" xfId="0" applyFill="1" applyBorder="1" applyProtection="1">
      <alignment vertical="center"/>
      <protection hidden="1"/>
    </xf>
    <xf numFmtId="4" fontId="0" fillId="0" borderId="120" xfId="0" applyNumberFormat="1" applyFill="1" applyBorder="1" applyProtection="1">
      <alignment vertical="center"/>
      <protection hidden="1"/>
    </xf>
    <xf numFmtId="3" fontId="0" fillId="0" borderId="120" xfId="0" applyNumberFormat="1" applyFill="1" applyBorder="1" applyProtection="1">
      <alignment vertical="center"/>
      <protection hidden="1"/>
    </xf>
    <xf numFmtId="0" fontId="0" fillId="0" borderId="133" xfId="0" applyFill="1" applyBorder="1" applyProtection="1">
      <alignment vertical="center"/>
      <protection hidden="1"/>
    </xf>
    <xf numFmtId="0" fontId="0" fillId="0" borderId="133" xfId="0" applyBorder="1" applyProtection="1">
      <alignment vertical="center"/>
      <protection hidden="1"/>
    </xf>
    <xf numFmtId="0" fontId="0" fillId="5" borderId="133" xfId="0" applyFill="1" applyBorder="1" applyProtection="1">
      <alignment vertical="center"/>
      <protection hidden="1"/>
    </xf>
    <xf numFmtId="0" fontId="2" fillId="5" borderId="0" xfId="0" applyFont="1" applyFill="1" applyProtection="1">
      <alignment vertical="center"/>
      <protection hidden="1"/>
    </xf>
    <xf numFmtId="0" fontId="0" fillId="5" borderId="0" xfId="0" applyFill="1" applyAlignment="1" applyProtection="1">
      <protection hidden="1"/>
    </xf>
    <xf numFmtId="0" fontId="1" fillId="5" borderId="0" xfId="0" applyNumberFormat="1" applyFont="1" applyFill="1" applyAlignment="1" applyProtection="1">
      <alignment horizontal="center"/>
      <protection hidden="1"/>
    </xf>
    <xf numFmtId="2" fontId="0" fillId="5" borderId="0" xfId="0" applyNumberFormat="1" applyFill="1" applyBorder="1" applyAlignment="1" applyProtection="1">
      <protection hidden="1"/>
    </xf>
    <xf numFmtId="0" fontId="1" fillId="5" borderId="0" xfId="0" applyNumberFormat="1" applyFont="1" applyFill="1" applyAlignment="1" applyProtection="1">
      <alignment horizontal="left"/>
      <protection hidden="1"/>
    </xf>
    <xf numFmtId="0" fontId="0" fillId="5" borderId="0" xfId="0" applyNumberFormat="1" applyFill="1" applyAlignment="1" applyProtection="1">
      <alignment horizontal="center"/>
      <protection hidden="1"/>
    </xf>
    <xf numFmtId="2" fontId="1" fillId="5" borderId="0" xfId="0" applyNumberFormat="1" applyFont="1" applyFill="1" applyAlignment="1" applyProtection="1">
      <alignment horizontal="right"/>
      <protection hidden="1"/>
    </xf>
    <xf numFmtId="0" fontId="0" fillId="5" borderId="110" xfId="0" applyFill="1" applyBorder="1" applyAlignment="1" applyProtection="1">
      <protection hidden="1"/>
    </xf>
    <xf numFmtId="0" fontId="1" fillId="5" borderId="0" xfId="0" applyNumberFormat="1" applyFont="1" applyFill="1" applyAlignment="1" applyProtection="1">
      <alignment horizontal="right"/>
      <protection hidden="1"/>
    </xf>
    <xf numFmtId="0" fontId="1" fillId="5" borderId="0" xfId="0" applyNumberFormat="1" applyFont="1" applyFill="1" applyBorder="1" applyAlignment="1" applyProtection="1">
      <alignment horizontal="left"/>
      <protection hidden="1"/>
    </xf>
    <xf numFmtId="177" fontId="0" fillId="5" borderId="0" xfId="0" applyNumberFormat="1" applyFill="1" applyBorder="1" applyAlignment="1" applyProtection="1">
      <protection hidden="1"/>
    </xf>
    <xf numFmtId="0" fontId="1" fillId="5" borderId="0" xfId="0" applyNumberFormat="1" applyFont="1" applyFill="1" applyBorder="1" applyAlignment="1" applyProtection="1">
      <alignment horizontal="right"/>
      <protection hidden="1"/>
    </xf>
    <xf numFmtId="0" fontId="0" fillId="5" borderId="110" xfId="0" applyFill="1" applyBorder="1" applyAlignment="1" applyProtection="1">
      <alignment horizontal="right"/>
      <protection hidden="1"/>
    </xf>
    <xf numFmtId="0" fontId="1" fillId="5" borderId="110" xfId="0" applyNumberFormat="1" applyFont="1" applyFill="1" applyBorder="1" applyAlignment="1" applyProtection="1">
      <protection hidden="1"/>
    </xf>
    <xf numFmtId="0" fontId="1" fillId="5" borderId="14" xfId="0" applyNumberFormat="1" applyFont="1" applyFill="1" applyBorder="1" applyAlignment="1" applyProtection="1">
      <alignment horizontal="right"/>
      <protection hidden="1"/>
    </xf>
    <xf numFmtId="177" fontId="0" fillId="5" borderId="110" xfId="0" applyNumberFormat="1" applyFill="1" applyBorder="1" applyAlignment="1" applyProtection="1">
      <alignment horizontal="right"/>
      <protection hidden="1"/>
    </xf>
    <xf numFmtId="0" fontId="0" fillId="5" borderId="110" xfId="0" applyNumberFormat="1" applyFill="1" applyBorder="1" applyAlignment="1" applyProtection="1">
      <alignment horizontal="right"/>
      <protection hidden="1"/>
    </xf>
    <xf numFmtId="0" fontId="1" fillId="5" borderId="111" xfId="0" applyNumberFormat="1" applyFont="1" applyFill="1" applyBorder="1" applyAlignment="1" applyProtection="1">
      <alignment horizontal="center"/>
      <protection hidden="1"/>
    </xf>
    <xf numFmtId="0" fontId="0" fillId="5" borderId="111" xfId="0" applyNumberFormat="1" applyFill="1" applyBorder="1" applyAlignment="1" applyProtection="1">
      <alignment horizontal="center"/>
      <protection hidden="1"/>
    </xf>
    <xf numFmtId="177" fontId="0" fillId="5" borderId="0" xfId="0" applyNumberFormat="1" applyFill="1" applyBorder="1" applyAlignment="1" applyProtection="1">
      <alignment horizontal="center"/>
      <protection hidden="1"/>
    </xf>
    <xf numFmtId="0" fontId="1" fillId="5" borderId="15" xfId="0" applyNumberFormat="1" applyFont="1" applyFill="1" applyBorder="1" applyAlignment="1" applyProtection="1">
      <alignment horizontal="center"/>
      <protection hidden="1"/>
    </xf>
    <xf numFmtId="0" fontId="1" fillId="5" borderId="13" xfId="0" applyNumberFormat="1" applyFont="1" applyFill="1" applyBorder="1" applyAlignment="1" applyProtection="1">
      <alignment horizontal="center"/>
      <protection hidden="1"/>
    </xf>
    <xf numFmtId="0" fontId="0" fillId="5" borderId="110" xfId="0" applyNumberFormat="1" applyFill="1" applyBorder="1" applyAlignment="1" applyProtection="1">
      <protection hidden="1"/>
    </xf>
    <xf numFmtId="0" fontId="1" fillId="5" borderId="9" xfId="0" applyNumberFormat="1" applyFont="1" applyFill="1" applyBorder="1" applyAlignment="1" applyProtection="1">
      <alignment horizontal="right"/>
      <protection hidden="1"/>
    </xf>
    <xf numFmtId="0" fontId="1" fillId="5" borderId="9" xfId="0" applyNumberFormat="1" applyFont="1" applyFill="1" applyBorder="1" applyAlignment="1" applyProtection="1">
      <alignment horizontal="left"/>
      <protection hidden="1"/>
    </xf>
    <xf numFmtId="3" fontId="0" fillId="0" borderId="0" xfId="0" applyNumberFormat="1" applyProtection="1">
      <alignment vertical="center"/>
      <protection hidden="1"/>
    </xf>
    <xf numFmtId="0" fontId="2" fillId="5" borderId="24" xfId="0" applyFont="1" applyFill="1" applyBorder="1" applyProtection="1">
      <alignment vertical="center"/>
      <protection hidden="1"/>
    </xf>
    <xf numFmtId="0" fontId="0" fillId="5" borderId="25" xfId="0" applyFill="1" applyBorder="1" applyProtection="1">
      <alignment vertical="center"/>
      <protection hidden="1"/>
    </xf>
    <xf numFmtId="0" fontId="0" fillId="5" borderId="27" xfId="0" applyFill="1" applyBorder="1" applyProtection="1">
      <alignment vertical="center"/>
      <protection hidden="1"/>
    </xf>
    <xf numFmtId="0" fontId="0" fillId="5" borderId="68" xfId="0" applyFill="1" applyBorder="1" applyProtection="1">
      <alignment vertical="center"/>
      <protection hidden="1"/>
    </xf>
    <xf numFmtId="4" fontId="0" fillId="5" borderId="0" xfId="0" applyNumberFormat="1" applyFill="1" applyBorder="1" applyAlignment="1" applyProtection="1">
      <alignment horizontal="center"/>
      <protection hidden="1"/>
    </xf>
    <xf numFmtId="0" fontId="0" fillId="5" borderId="0" xfId="0" applyNumberFormat="1" applyFill="1" applyAlignment="1" applyProtection="1">
      <alignment horizontal="right"/>
      <protection hidden="1"/>
    </xf>
    <xf numFmtId="0" fontId="0" fillId="0" borderId="0" xfId="0" applyAlignment="1" applyProtection="1">
      <protection hidden="1"/>
    </xf>
    <xf numFmtId="4" fontId="0" fillId="0" borderId="0" xfId="0" applyNumberFormat="1" applyProtection="1">
      <alignment vertical="center"/>
      <protection hidden="1"/>
    </xf>
    <xf numFmtId="184" fontId="0" fillId="0" borderId="0" xfId="0" applyNumberFormat="1" applyProtection="1">
      <alignment vertical="center"/>
      <protection hidden="1"/>
    </xf>
    <xf numFmtId="183" fontId="1" fillId="5" borderId="0" xfId="0" applyNumberFormat="1" applyFont="1" applyFill="1" applyAlignment="1" applyProtection="1">
      <protection hidden="1"/>
    </xf>
    <xf numFmtId="0" fontId="0" fillId="0" borderId="119" xfId="0" applyBorder="1" applyProtection="1">
      <alignment vertical="center"/>
      <protection hidden="1"/>
    </xf>
    <xf numFmtId="0" fontId="0" fillId="0" borderId="118" xfId="0" applyBorder="1" applyProtection="1">
      <alignment vertical="center"/>
      <protection hidden="1"/>
    </xf>
    <xf numFmtId="0" fontId="0" fillId="0" borderId="122" xfId="0" applyBorder="1" applyAlignment="1" applyProtection="1">
      <alignment horizontal="center" vertical="center"/>
      <protection hidden="1"/>
    </xf>
    <xf numFmtId="177" fontId="0" fillId="5" borderId="0" xfId="0" applyNumberFormat="1" applyFill="1" applyBorder="1" applyAlignment="1" applyProtection="1">
      <alignment horizontal="right"/>
      <protection hidden="1"/>
    </xf>
    <xf numFmtId="0" fontId="0" fillId="0" borderId="120" xfId="0" applyBorder="1" applyProtection="1">
      <alignment vertical="center"/>
      <protection hidden="1"/>
    </xf>
    <xf numFmtId="0" fontId="1" fillId="5" borderId="14" xfId="0" applyNumberFormat="1" applyFont="1" applyFill="1" applyBorder="1" applyAlignment="1" applyProtection="1">
      <alignment horizontal="left"/>
      <protection hidden="1"/>
    </xf>
    <xf numFmtId="0" fontId="0" fillId="11" borderId="0" xfId="0" applyFill="1" applyProtection="1">
      <alignment vertical="center"/>
      <protection hidden="1"/>
    </xf>
    <xf numFmtId="176" fontId="0" fillId="5" borderId="13" xfId="0" applyNumberFormat="1" applyFill="1" applyBorder="1" applyProtection="1">
      <alignment vertical="center"/>
      <protection hidden="1"/>
    </xf>
    <xf numFmtId="0" fontId="0" fillId="0" borderId="0" xfId="0" applyNumberFormat="1" applyFont="1" applyFill="1" applyBorder="1" applyAlignment="1" applyProtection="1">
      <protection hidden="1"/>
    </xf>
    <xf numFmtId="0" fontId="0" fillId="10" borderId="1"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2" fillId="5" borderId="25" xfId="0" applyFont="1" applyFill="1" applyBorder="1" applyProtection="1">
      <alignment vertical="center"/>
      <protection hidden="1"/>
    </xf>
    <xf numFmtId="4" fontId="0" fillId="5" borderId="2" xfId="0" applyNumberFormat="1" applyFill="1" applyBorder="1" applyAlignment="1" applyProtection="1">
      <alignment horizontal="center" vertical="center"/>
      <protection hidden="1"/>
    </xf>
    <xf numFmtId="0" fontId="0" fillId="5" borderId="121" xfId="0" applyFill="1" applyBorder="1" applyAlignment="1" applyProtection="1">
      <alignment horizontal="center" vertical="center"/>
      <protection hidden="1"/>
    </xf>
    <xf numFmtId="0" fontId="0" fillId="5" borderId="119" xfId="0" applyFill="1" applyBorder="1" applyProtection="1">
      <alignment vertical="center"/>
      <protection hidden="1"/>
    </xf>
    <xf numFmtId="4" fontId="0" fillId="5" borderId="17" xfId="0" applyNumberFormat="1" applyFill="1" applyBorder="1" applyAlignment="1" applyProtection="1">
      <alignment horizontal="center" vertical="center"/>
      <protection hidden="1"/>
    </xf>
    <xf numFmtId="176" fontId="0" fillId="0" borderId="120" xfId="0" applyNumberFormat="1" applyFill="1" applyBorder="1" applyProtection="1">
      <alignment vertical="center"/>
      <protection hidden="1"/>
    </xf>
    <xf numFmtId="4" fontId="0" fillId="0" borderId="1" xfId="0" applyNumberFormat="1" applyBorder="1" applyProtection="1">
      <alignment vertical="center"/>
      <protection locked="0"/>
    </xf>
    <xf numFmtId="176" fontId="0" fillId="5" borderId="44" xfId="0" applyNumberFormat="1" applyFill="1" applyBorder="1" applyAlignment="1" applyProtection="1">
      <alignment horizontal="right" vertical="center"/>
      <protection locked="0"/>
    </xf>
    <xf numFmtId="0" fontId="0" fillId="5" borderId="66" xfId="0" applyFill="1" applyBorder="1" applyAlignment="1" applyProtection="1">
      <alignment horizontal="right" vertical="center"/>
      <protection hidden="1"/>
    </xf>
    <xf numFmtId="0" fontId="0" fillId="5" borderId="42" xfId="0" applyFill="1" applyBorder="1" applyAlignment="1" applyProtection="1">
      <alignment horizontal="right" vertical="center"/>
      <protection hidden="1"/>
    </xf>
    <xf numFmtId="0" fontId="0" fillId="0" borderId="0" xfId="0" applyFill="1" applyBorder="1" applyAlignment="1" applyProtection="1">
      <alignment horizontal="center" vertical="center" wrapText="1"/>
      <protection hidden="1"/>
    </xf>
    <xf numFmtId="0" fontId="0" fillId="5" borderId="45" xfId="0" applyFill="1" applyBorder="1" applyAlignment="1" applyProtection="1">
      <alignment vertical="center"/>
      <protection hidden="1"/>
    </xf>
    <xf numFmtId="0" fontId="0" fillId="5" borderId="1" xfId="0" applyFill="1" applyBorder="1" applyAlignment="1" applyProtection="1">
      <alignment horizontal="center" vertical="center"/>
      <protection hidden="1"/>
    </xf>
    <xf numFmtId="0" fontId="0" fillId="5" borderId="112" xfId="0" applyFill="1" applyBorder="1" applyAlignment="1" applyProtection="1">
      <alignment vertical="center"/>
      <protection hidden="1"/>
    </xf>
    <xf numFmtId="0" fontId="0" fillId="5" borderId="123" xfId="0" applyFill="1" applyBorder="1" applyAlignment="1" applyProtection="1">
      <alignment horizontal="center" vertical="center"/>
      <protection hidden="1"/>
    </xf>
    <xf numFmtId="0" fontId="0" fillId="5" borderId="119" xfId="0" applyNumberFormat="1" applyFill="1" applyBorder="1" applyAlignment="1" applyProtection="1">
      <alignment vertical="center"/>
      <protection hidden="1"/>
    </xf>
    <xf numFmtId="4" fontId="0" fillId="5" borderId="130" xfId="0" applyNumberFormat="1" applyFill="1" applyBorder="1" applyAlignment="1" applyProtection="1">
      <alignment horizontal="center" vertical="center"/>
      <protection hidden="1"/>
    </xf>
    <xf numFmtId="0" fontId="0" fillId="5" borderId="61" xfId="0" applyNumberFormat="1" applyFill="1" applyBorder="1" applyAlignment="1" applyProtection="1">
      <alignment vertical="center"/>
      <protection hidden="1"/>
    </xf>
    <xf numFmtId="4" fontId="0" fillId="5" borderId="39" xfId="0" applyNumberFormat="1" applyFill="1" applyBorder="1" applyAlignment="1" applyProtection="1">
      <alignment vertical="center"/>
      <protection locked="0"/>
    </xf>
    <xf numFmtId="4" fontId="0" fillId="5" borderId="39" xfId="0" applyNumberFormat="1" applyFill="1" applyBorder="1" applyAlignment="1" applyProtection="1">
      <alignment vertical="center"/>
      <protection hidden="1"/>
    </xf>
    <xf numFmtId="4" fontId="0" fillId="0" borderId="112" xfId="0" applyNumberFormat="1" applyFill="1" applyBorder="1" applyAlignment="1" applyProtection="1">
      <alignment horizontal="right" vertical="center"/>
      <protection locked="0"/>
    </xf>
    <xf numFmtId="0" fontId="0" fillId="5" borderId="17" xfId="0" applyFill="1" applyBorder="1" applyAlignment="1" applyProtection="1">
      <alignment horizontal="center" vertical="center"/>
      <protection hidden="1"/>
    </xf>
    <xf numFmtId="0" fontId="0" fillId="5" borderId="2"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4" fontId="0" fillId="0" borderId="17" xfId="0" applyNumberFormat="1" applyBorder="1" applyAlignment="1" applyProtection="1">
      <alignment vertical="center"/>
      <protection hidden="1"/>
    </xf>
    <xf numFmtId="0" fontId="0" fillId="8" borderId="84" xfId="0" applyFill="1" applyBorder="1" applyAlignment="1" applyProtection="1">
      <alignment horizontal="center" vertical="center"/>
      <protection hidden="1"/>
    </xf>
    <xf numFmtId="0" fontId="0" fillId="8" borderId="85" xfId="0" applyFill="1" applyBorder="1" applyAlignment="1" applyProtection="1">
      <alignment horizontal="center" vertical="center"/>
      <protection hidden="1"/>
    </xf>
    <xf numFmtId="0" fontId="0" fillId="5" borderId="61" xfId="0" applyFill="1" applyBorder="1" applyAlignment="1" applyProtection="1">
      <alignment horizontal="center" vertical="center"/>
      <protection hidden="1"/>
    </xf>
    <xf numFmtId="0" fontId="0" fillId="5" borderId="45" xfId="0"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2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0" fillId="0" borderId="14" xfId="0" applyBorder="1" applyProtection="1">
      <alignment vertical="center"/>
      <protection hidden="1"/>
    </xf>
    <xf numFmtId="0" fontId="0" fillId="5" borderId="38" xfId="0" applyFill="1" applyBorder="1" applyAlignment="1" applyProtection="1">
      <alignment horizontal="center" vertical="center" wrapText="1"/>
      <protection hidden="1"/>
    </xf>
    <xf numFmtId="0" fontId="0" fillId="5" borderId="29" xfId="0" applyFill="1" applyBorder="1" applyAlignment="1" applyProtection="1">
      <alignment vertical="center" wrapText="1"/>
      <protection hidden="1"/>
    </xf>
    <xf numFmtId="0" fontId="1" fillId="5" borderId="38" xfId="0" applyNumberFormat="1" applyFont="1" applyFill="1" applyBorder="1" applyAlignment="1" applyProtection="1">
      <alignment horizontal="center" wrapText="1"/>
      <protection hidden="1"/>
    </xf>
    <xf numFmtId="0" fontId="0" fillId="5" borderId="72" xfId="0" applyFill="1" applyBorder="1" applyAlignment="1" applyProtection="1">
      <alignment horizontal="center" vertical="center" wrapText="1"/>
      <protection hidden="1"/>
    </xf>
    <xf numFmtId="0" fontId="0" fillId="5" borderId="37" xfId="0" applyFill="1" applyBorder="1" applyAlignment="1" applyProtection="1">
      <alignment vertical="center" wrapText="1"/>
      <protection hidden="1"/>
    </xf>
    <xf numFmtId="0" fontId="0" fillId="5" borderId="13"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5" borderId="2" xfId="0" applyFill="1" applyBorder="1" applyAlignment="1" applyProtection="1">
      <alignment vertical="center" wrapText="1"/>
      <protection hidden="1"/>
    </xf>
    <xf numFmtId="0" fontId="0" fillId="5" borderId="0" xfId="0" applyFill="1" applyBorder="1" applyAlignment="1" applyProtection="1">
      <alignment horizontal="center" vertical="center"/>
      <protection hidden="1"/>
    </xf>
    <xf numFmtId="0" fontId="0" fillId="5" borderId="15" xfId="0" applyFill="1" applyBorder="1" applyAlignment="1" applyProtection="1">
      <alignment horizontal="center" vertical="center"/>
      <protection hidden="1"/>
    </xf>
    <xf numFmtId="0" fontId="0" fillId="0" borderId="0" xfId="0" applyFont="1" applyBorder="1" applyProtection="1">
      <alignment vertical="center"/>
      <protection hidden="1"/>
    </xf>
    <xf numFmtId="0" fontId="0" fillId="0" borderId="0" xfId="0" applyFont="1" applyFill="1" applyBorder="1" applyProtection="1">
      <alignment vertical="center"/>
      <protection hidden="1"/>
    </xf>
    <xf numFmtId="0" fontId="0" fillId="0" borderId="0" xfId="0" quotePrefix="1" applyFont="1" applyFill="1" applyBorder="1" applyAlignment="1" applyProtection="1">
      <alignment horizontal="center"/>
      <protection hidden="1"/>
    </xf>
    <xf numFmtId="0" fontId="0" fillId="0" borderId="0" xfId="0" applyFont="1" applyFill="1" applyProtection="1">
      <alignment vertical="center"/>
      <protection hidden="1"/>
    </xf>
    <xf numFmtId="3" fontId="0" fillId="0" borderId="0" xfId="0" applyNumberFormat="1" applyFont="1" applyProtection="1">
      <alignment vertical="center"/>
      <protection hidden="1"/>
    </xf>
    <xf numFmtId="0" fontId="0" fillId="0" borderId="0" xfId="0" applyNumberFormat="1" applyFont="1" applyBorder="1" applyAlignment="1" applyProtection="1">
      <protection hidden="1"/>
    </xf>
    <xf numFmtId="0" fontId="0" fillId="0" borderId="0" xfId="0" applyNumberFormat="1" applyFont="1" applyBorder="1" applyAlignment="1" applyProtection="1">
      <alignment horizontal="center"/>
      <protection hidden="1"/>
    </xf>
    <xf numFmtId="0" fontId="0" fillId="0" borderId="0" xfId="0" applyFont="1" applyFill="1" applyBorder="1" applyAlignment="1" applyProtection="1">
      <alignment horizontal="right"/>
      <protection hidden="1"/>
    </xf>
    <xf numFmtId="0" fontId="0" fillId="0" borderId="0" xfId="0" quotePrefix="1" applyFont="1" applyProtection="1">
      <alignment vertical="center"/>
      <protection hidden="1"/>
    </xf>
    <xf numFmtId="0" fontId="0" fillId="0" borderId="0" xfId="0" applyNumberFormat="1" applyFont="1" applyAlignment="1" applyProtection="1">
      <protection hidden="1"/>
    </xf>
    <xf numFmtId="0" fontId="0" fillId="0" borderId="123" xfId="0" applyBorder="1" applyProtection="1">
      <alignment vertical="center"/>
      <protection hidden="1"/>
    </xf>
    <xf numFmtId="0" fontId="0" fillId="0" borderId="126" xfId="0" applyBorder="1" applyProtection="1">
      <alignment vertical="center"/>
      <protection hidden="1"/>
    </xf>
    <xf numFmtId="0" fontId="0" fillId="0" borderId="124" xfId="0" applyBorder="1" applyProtection="1">
      <alignment vertical="center"/>
      <protection hidden="1"/>
    </xf>
    <xf numFmtId="176" fontId="0" fillId="12" borderId="79" xfId="0" applyNumberFormat="1" applyFill="1" applyBorder="1" applyAlignment="1" applyProtection="1">
      <alignment horizontal="right" vertical="center"/>
      <protection hidden="1"/>
    </xf>
    <xf numFmtId="4" fontId="0" fillId="12" borderId="80" xfId="0" applyNumberFormat="1" applyFill="1" applyBorder="1" applyAlignment="1" applyProtection="1">
      <alignment horizontal="right" vertical="center"/>
      <protection hidden="1"/>
    </xf>
    <xf numFmtId="0" fontId="0" fillId="12" borderId="56" xfId="0" applyFill="1" applyBorder="1" applyProtection="1">
      <alignment vertical="center"/>
      <protection hidden="1"/>
    </xf>
    <xf numFmtId="4" fontId="0" fillId="12" borderId="57" xfId="0" applyNumberFormat="1" applyFill="1" applyBorder="1" applyProtection="1">
      <alignment vertical="center"/>
      <protection hidden="1"/>
    </xf>
    <xf numFmtId="176" fontId="0" fillId="12" borderId="87" xfId="0" applyNumberFormat="1" applyFill="1" applyBorder="1" applyAlignment="1" applyProtection="1">
      <alignment horizontal="right" vertical="center"/>
      <protection hidden="1"/>
    </xf>
    <xf numFmtId="4" fontId="0" fillId="12" borderId="88" xfId="0" applyNumberFormat="1" applyFill="1" applyBorder="1" applyAlignment="1" applyProtection="1">
      <alignment horizontal="right" vertical="center"/>
      <protection hidden="1"/>
    </xf>
    <xf numFmtId="0" fontId="0" fillId="12" borderId="87" xfId="0" applyFill="1" applyBorder="1" applyProtection="1">
      <alignment vertical="center"/>
      <protection hidden="1"/>
    </xf>
    <xf numFmtId="4" fontId="0" fillId="12" borderId="88" xfId="0" applyNumberFormat="1" applyFill="1" applyBorder="1" applyProtection="1">
      <alignment vertical="center"/>
      <protection hidden="1"/>
    </xf>
    <xf numFmtId="0" fontId="0" fillId="0" borderId="119" xfId="0" applyFill="1" applyBorder="1" applyProtection="1">
      <alignment vertical="center"/>
      <protection hidden="1"/>
    </xf>
    <xf numFmtId="0" fontId="0" fillId="0" borderId="122" xfId="0" applyFill="1" applyBorder="1" applyAlignment="1" applyProtection="1">
      <alignment vertical="center"/>
      <protection hidden="1"/>
    </xf>
    <xf numFmtId="0" fontId="0" fillId="0" borderId="13" xfId="0" applyFill="1" applyBorder="1" applyProtection="1">
      <alignment vertical="center"/>
      <protection hidden="1"/>
    </xf>
    <xf numFmtId="0" fontId="0" fillId="0" borderId="15" xfId="0" applyFill="1" applyBorder="1" applyAlignment="1" applyProtection="1">
      <alignment vertical="center"/>
      <protection hidden="1"/>
    </xf>
    <xf numFmtId="0" fontId="0" fillId="5" borderId="17" xfId="0" applyFill="1" applyBorder="1" applyAlignment="1" applyProtection="1">
      <alignment horizontal="center" vertical="center"/>
      <protection hidden="1"/>
    </xf>
    <xf numFmtId="0" fontId="0" fillId="5" borderId="41" xfId="0" applyFill="1" applyBorder="1" applyAlignment="1" applyProtection="1">
      <alignment vertical="center"/>
      <protection hidden="1"/>
    </xf>
    <xf numFmtId="0" fontId="0" fillId="5" borderId="60" xfId="0" applyFill="1" applyBorder="1" applyAlignment="1" applyProtection="1">
      <alignment vertical="center"/>
      <protection hidden="1"/>
    </xf>
    <xf numFmtId="0" fontId="0" fillId="5" borderId="2"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0" fontId="0" fillId="5" borderId="71" xfId="0" applyFill="1" applyBorder="1" applyAlignment="1" applyProtection="1">
      <alignment horizontal="center" vertical="center"/>
      <protection hidden="1"/>
    </xf>
    <xf numFmtId="0" fontId="0" fillId="5" borderId="29" xfId="0" applyFill="1" applyBorder="1" applyAlignment="1" applyProtection="1">
      <alignment vertical="center" wrapText="1"/>
      <protection hidden="1"/>
    </xf>
    <xf numFmtId="0" fontId="0" fillId="0" borderId="22" xfId="0"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5" borderId="49" xfId="0" applyFill="1" applyBorder="1" applyAlignment="1" applyProtection="1">
      <alignment horizontal="center" vertical="center"/>
      <protection hidden="1"/>
    </xf>
    <xf numFmtId="0" fontId="0" fillId="5" borderId="2" xfId="0" applyFill="1" applyBorder="1" applyAlignment="1" applyProtection="1">
      <alignment vertical="center" wrapText="1"/>
      <protection hidden="1"/>
    </xf>
    <xf numFmtId="0" fontId="0" fillId="5" borderId="1" xfId="0" applyFill="1" applyBorder="1" applyAlignment="1" applyProtection="1">
      <alignment horizontal="center" vertical="center"/>
      <protection hidden="1"/>
    </xf>
    <xf numFmtId="0" fontId="0" fillId="0" borderId="112" xfId="0" applyBorder="1" applyAlignment="1" applyProtection="1">
      <alignment vertical="center"/>
      <protection locked="0"/>
    </xf>
    <xf numFmtId="0" fontId="0" fillId="5" borderId="28" xfId="0" applyFill="1" applyBorder="1" applyAlignment="1" applyProtection="1">
      <alignment horizontal="center" vertical="center"/>
      <protection hidden="1"/>
    </xf>
    <xf numFmtId="0" fontId="0" fillId="5" borderId="2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hidden="1"/>
    </xf>
    <xf numFmtId="0" fontId="0" fillId="5" borderId="112" xfId="0" applyFill="1" applyBorder="1" applyAlignment="1" applyProtection="1">
      <alignment vertical="center"/>
      <protection hidden="1"/>
    </xf>
    <xf numFmtId="0" fontId="25" fillId="5" borderId="123" xfId="0" applyFont="1" applyFill="1" applyBorder="1" applyAlignment="1" applyProtection="1">
      <alignment horizontal="center" vertical="center"/>
      <protection hidden="1"/>
    </xf>
    <xf numFmtId="0" fontId="25" fillId="5" borderId="126" xfId="0" applyFont="1" applyFill="1" applyBorder="1" applyAlignment="1" applyProtection="1">
      <alignment horizontal="center" vertical="center"/>
      <protection hidden="1"/>
    </xf>
    <xf numFmtId="0" fontId="25" fillId="5" borderId="124" xfId="0" applyFont="1"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0" fillId="5" borderId="5" xfId="0" applyFill="1" applyBorder="1" applyAlignment="1" applyProtection="1">
      <alignment horizontal="center" vertical="center"/>
      <protection hidden="1"/>
    </xf>
    <xf numFmtId="0" fontId="0" fillId="5" borderId="130" xfId="0" applyFill="1" applyBorder="1" applyAlignment="1" applyProtection="1">
      <alignment horizontal="center" vertical="center"/>
      <protection hidden="1"/>
    </xf>
    <xf numFmtId="0" fontId="0" fillId="0" borderId="0" xfId="0" applyAlignment="1" applyProtection="1">
      <alignment vertical="center"/>
      <protection hidden="1"/>
    </xf>
    <xf numFmtId="0" fontId="0" fillId="5" borderId="14" xfId="0" applyFill="1" applyBorder="1" applyAlignment="1" applyProtection="1">
      <alignment horizontal="center" vertical="center"/>
      <protection hidden="1"/>
    </xf>
    <xf numFmtId="0" fontId="0" fillId="5" borderId="120" xfId="0" applyFill="1" applyBorder="1" applyAlignment="1" applyProtection="1">
      <alignment horizontal="center" vertical="center"/>
      <protection hidden="1"/>
    </xf>
    <xf numFmtId="0" fontId="0" fillId="5" borderId="12" xfId="0" applyFill="1" applyBorder="1" applyAlignment="1" applyProtection="1">
      <alignment horizontal="center" vertical="center"/>
      <protection hidden="1"/>
    </xf>
    <xf numFmtId="0" fontId="0" fillId="5" borderId="26" xfId="0" applyFill="1" applyBorder="1" applyAlignment="1" applyProtection="1">
      <protection hidden="1"/>
    </xf>
    <xf numFmtId="0" fontId="20" fillId="5" borderId="21" xfId="0" applyFont="1" applyFill="1" applyBorder="1" applyAlignment="1" applyProtection="1">
      <alignment horizontal="center" vertical="center"/>
      <protection hidden="1"/>
    </xf>
    <xf numFmtId="0" fontId="0" fillId="5" borderId="30" xfId="0" applyFill="1" applyBorder="1" applyAlignment="1" applyProtection="1">
      <alignment horizontal="center" vertical="center"/>
      <protection hidden="1"/>
    </xf>
    <xf numFmtId="0" fontId="1" fillId="5" borderId="31" xfId="0" applyFont="1" applyFill="1" applyBorder="1" applyProtection="1">
      <alignment vertical="center"/>
      <protection hidden="1"/>
    </xf>
    <xf numFmtId="0" fontId="0" fillId="5" borderId="17" xfId="0" applyFill="1" applyBorder="1" applyProtection="1">
      <alignment vertical="center"/>
      <protection hidden="1"/>
    </xf>
    <xf numFmtId="0" fontId="0" fillId="5" borderId="17" xfId="0" applyFill="1" applyBorder="1" applyAlignment="1" applyProtection="1">
      <alignment horizontal="center"/>
      <protection hidden="1"/>
    </xf>
    <xf numFmtId="176" fontId="0" fillId="5" borderId="17" xfId="0" applyNumberFormat="1" applyFill="1" applyBorder="1" applyProtection="1">
      <alignment vertical="center"/>
      <protection hidden="1"/>
    </xf>
    <xf numFmtId="3" fontId="0" fillId="5" borderId="17" xfId="0" applyNumberFormat="1" applyFill="1" applyBorder="1" applyProtection="1">
      <alignment vertical="center"/>
      <protection hidden="1"/>
    </xf>
    <xf numFmtId="3" fontId="0" fillId="5" borderId="32" xfId="0" applyNumberFormat="1" applyFill="1" applyBorder="1" applyProtection="1">
      <alignment vertical="center"/>
      <protection hidden="1"/>
    </xf>
    <xf numFmtId="0" fontId="1" fillId="5" borderId="34" xfId="0" applyFont="1" applyFill="1" applyBorder="1" applyProtection="1">
      <alignment vertical="center"/>
      <protection hidden="1"/>
    </xf>
    <xf numFmtId="0" fontId="1" fillId="5" borderId="36" xfId="0" applyFont="1" applyFill="1" applyBorder="1" applyProtection="1">
      <alignment vertical="center"/>
      <protection hidden="1"/>
    </xf>
    <xf numFmtId="0" fontId="0" fillId="5" borderId="21" xfId="0" applyFill="1" applyBorder="1" applyAlignment="1" applyProtection="1">
      <alignment horizontal="center"/>
      <protection hidden="1"/>
    </xf>
    <xf numFmtId="176" fontId="0" fillId="5" borderId="21" xfId="0" applyNumberFormat="1" applyFill="1" applyBorder="1" applyProtection="1">
      <alignment vertical="center"/>
      <protection hidden="1"/>
    </xf>
    <xf numFmtId="3" fontId="0" fillId="5" borderId="21" xfId="0" applyNumberFormat="1" applyFill="1" applyBorder="1" applyProtection="1">
      <alignment vertical="center"/>
      <protection hidden="1"/>
    </xf>
    <xf numFmtId="3" fontId="0" fillId="5" borderId="30" xfId="0" applyNumberFormat="1" applyFill="1" applyBorder="1" applyProtection="1">
      <alignment vertical="center"/>
      <protection hidden="1"/>
    </xf>
    <xf numFmtId="0" fontId="6" fillId="5" borderId="0" xfId="0" applyFont="1" applyFill="1" applyBorder="1" applyProtection="1">
      <alignment vertical="center"/>
      <protection hidden="1"/>
    </xf>
    <xf numFmtId="176" fontId="0" fillId="5" borderId="0" xfId="0" applyNumberFormat="1" applyFill="1" applyBorder="1" applyProtection="1">
      <alignment vertical="center"/>
      <protection hidden="1"/>
    </xf>
    <xf numFmtId="0" fontId="1" fillId="5" borderId="16" xfId="0" applyFont="1" applyFill="1" applyBorder="1" applyProtection="1">
      <alignment vertical="center"/>
      <protection hidden="1"/>
    </xf>
    <xf numFmtId="0" fontId="1" fillId="5" borderId="7" xfId="0" applyFont="1" applyFill="1" applyBorder="1" applyProtection="1">
      <alignment vertical="center"/>
      <protection hidden="1"/>
    </xf>
    <xf numFmtId="0" fontId="1" fillId="5" borderId="8" xfId="0" applyFont="1" applyFill="1" applyBorder="1" applyProtection="1">
      <alignment vertical="center"/>
      <protection hidden="1"/>
    </xf>
    <xf numFmtId="0" fontId="1" fillId="5" borderId="1" xfId="0" applyFont="1" applyFill="1" applyBorder="1" applyAlignment="1" applyProtection="1">
      <alignment horizontal="center"/>
      <protection hidden="1"/>
    </xf>
    <xf numFmtId="176" fontId="0" fillId="5" borderId="10" xfId="0" applyNumberFormat="1" applyFill="1" applyBorder="1" applyProtection="1">
      <alignment vertical="center"/>
      <protection hidden="1"/>
    </xf>
    <xf numFmtId="176" fontId="0" fillId="5" borderId="1" xfId="0" applyNumberFormat="1" applyFill="1" applyBorder="1" applyProtection="1">
      <alignment vertical="center"/>
      <protection hidden="1"/>
    </xf>
    <xf numFmtId="176" fontId="20" fillId="5" borderId="1" xfId="0" applyNumberFormat="1" applyFont="1" applyFill="1" applyBorder="1" applyProtection="1">
      <alignment vertical="center"/>
      <protection hidden="1"/>
    </xf>
    <xf numFmtId="176" fontId="0" fillId="5" borderId="1" xfId="0" quotePrefix="1" applyNumberFormat="1" applyFill="1" applyBorder="1" applyProtection="1">
      <alignment vertical="center"/>
      <protection hidden="1"/>
    </xf>
    <xf numFmtId="3" fontId="0" fillId="5" borderId="1" xfId="0" quotePrefix="1" applyNumberFormat="1" applyFill="1" applyBorder="1" applyProtection="1">
      <alignment vertical="center"/>
      <protection hidden="1"/>
    </xf>
    <xf numFmtId="0" fontId="0" fillId="5" borderId="10" xfId="0" applyFill="1" applyBorder="1" applyProtection="1">
      <alignment vertical="center"/>
      <protection hidden="1"/>
    </xf>
    <xf numFmtId="0" fontId="0" fillId="5" borderId="6" xfId="0" applyFill="1" applyBorder="1" applyProtection="1">
      <alignment vertical="center"/>
      <protection hidden="1"/>
    </xf>
    <xf numFmtId="0" fontId="0" fillId="5" borderId="64" xfId="0" applyFill="1" applyBorder="1" applyProtection="1">
      <alignment vertical="center"/>
      <protection hidden="1"/>
    </xf>
    <xf numFmtId="0" fontId="0" fillId="5" borderId="65" xfId="0" applyFill="1" applyBorder="1" applyProtection="1">
      <alignment vertical="center"/>
      <protection hidden="1"/>
    </xf>
    <xf numFmtId="176" fontId="0" fillId="0" borderId="113" xfId="0" applyNumberFormat="1" applyBorder="1" applyAlignment="1" applyProtection="1">
      <alignment horizontal="center" vertical="center"/>
      <protection locked="0"/>
    </xf>
    <xf numFmtId="0" fontId="0" fillId="5" borderId="36" xfId="0" applyFill="1" applyBorder="1" applyProtection="1">
      <alignment vertical="center"/>
      <protection hidden="1"/>
    </xf>
    <xf numFmtId="0" fontId="0" fillId="5" borderId="73" xfId="0" applyFill="1" applyBorder="1" applyProtection="1">
      <alignment vertical="center"/>
      <protection hidden="1"/>
    </xf>
    <xf numFmtId="0" fontId="0" fillId="5" borderId="35" xfId="0" applyFill="1" applyBorder="1" applyAlignment="1" applyProtection="1">
      <alignment horizontal="center" vertical="center"/>
      <protection hidden="1"/>
    </xf>
    <xf numFmtId="0" fontId="0" fillId="5" borderId="136" xfId="0" applyFill="1" applyBorder="1" applyProtection="1">
      <alignment vertical="center"/>
      <protection hidden="1"/>
    </xf>
    <xf numFmtId="0" fontId="0" fillId="5" borderId="137" xfId="0" applyFill="1" applyBorder="1" applyProtection="1">
      <alignment vertical="center"/>
      <protection hidden="1"/>
    </xf>
    <xf numFmtId="0" fontId="0" fillId="5" borderId="110"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5" borderId="5" xfId="0" applyFill="1" applyBorder="1" applyAlignment="1" applyProtection="1">
      <alignment horizontal="left" vertical="center"/>
      <protection hidden="1"/>
    </xf>
    <xf numFmtId="0" fontId="0" fillId="5" borderId="7" xfId="0" applyFill="1" applyBorder="1" applyAlignment="1" applyProtection="1">
      <alignment vertical="center"/>
      <protection hidden="1"/>
    </xf>
    <xf numFmtId="0" fontId="0" fillId="0" borderId="0" xfId="0" applyFill="1" applyAlignment="1" applyProtection="1">
      <alignment vertical="center"/>
      <protection hidden="1"/>
    </xf>
    <xf numFmtId="0" fontId="0" fillId="5" borderId="68" xfId="0" applyFill="1" applyBorder="1" applyAlignment="1" applyProtection="1">
      <alignment vertical="center"/>
      <protection hidden="1"/>
    </xf>
    <xf numFmtId="0" fontId="0" fillId="5" borderId="14" xfId="0" applyFill="1" applyBorder="1" applyAlignment="1">
      <alignment vertical="center"/>
    </xf>
    <xf numFmtId="0" fontId="0" fillId="5" borderId="134" xfId="0" applyFill="1" applyBorder="1" applyAlignment="1">
      <alignment vertical="center"/>
    </xf>
    <xf numFmtId="0" fontId="0" fillId="0" borderId="0" xfId="0" applyFill="1" applyBorder="1" applyProtection="1">
      <alignment vertical="center"/>
      <protection locked="0"/>
    </xf>
    <xf numFmtId="0" fontId="2" fillId="5" borderId="0" xfId="0" applyFont="1" applyFill="1" applyBorder="1" applyProtection="1">
      <alignment vertical="center"/>
      <protection hidden="1"/>
    </xf>
    <xf numFmtId="0" fontId="0" fillId="5" borderId="1" xfId="0"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4" fontId="0" fillId="5" borderId="112" xfId="0" applyNumberFormat="1" applyFill="1" applyBorder="1" applyAlignment="1" applyProtection="1">
      <alignment vertical="center"/>
      <protection hidden="1"/>
    </xf>
    <xf numFmtId="4" fontId="0" fillId="0" borderId="112" xfId="0" applyNumberFormat="1" applyFill="1" applyBorder="1" applyAlignment="1" applyProtection="1">
      <alignment vertical="center"/>
      <protection locked="0"/>
    </xf>
    <xf numFmtId="0" fontId="1" fillId="0" borderId="0" xfId="0" applyFont="1" applyAlignment="1" applyProtection="1">
      <alignment horizontal="center" vertical="center"/>
      <protection hidden="1"/>
    </xf>
    <xf numFmtId="0" fontId="0" fillId="5" borderId="29" xfId="0"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5" borderId="121" xfId="0" applyFill="1" applyBorder="1" applyAlignment="1" applyProtection="1">
      <alignment horizontal="center" vertical="center"/>
      <protection hidden="1"/>
    </xf>
    <xf numFmtId="185" fontId="0" fillId="0" borderId="80" xfId="0" applyNumberFormat="1" applyFill="1" applyBorder="1" applyAlignment="1" applyProtection="1">
      <alignment horizontal="right" vertical="center"/>
      <protection locked="0"/>
    </xf>
    <xf numFmtId="185" fontId="0" fillId="0" borderId="57" xfId="0" applyNumberFormat="1" applyBorder="1" applyProtection="1">
      <alignment vertical="center"/>
      <protection locked="0"/>
    </xf>
    <xf numFmtId="185" fontId="0" fillId="0" borderId="88" xfId="0" applyNumberFormat="1" applyFill="1" applyBorder="1" applyAlignment="1" applyProtection="1">
      <alignment horizontal="right" vertical="center"/>
      <protection locked="0"/>
    </xf>
    <xf numFmtId="185" fontId="0" fillId="0" borderId="88" xfId="0" applyNumberFormat="1" applyBorder="1" applyProtection="1">
      <alignment vertical="center"/>
      <protection locked="0"/>
    </xf>
    <xf numFmtId="185" fontId="0" fillId="0" borderId="19" xfId="0" applyNumberFormat="1" applyFill="1" applyBorder="1" applyAlignment="1" applyProtection="1">
      <alignment horizontal="right" vertical="center"/>
      <protection locked="0"/>
    </xf>
    <xf numFmtId="185" fontId="0" fillId="0" borderId="19" xfId="0" applyNumberFormat="1" applyBorder="1" applyProtection="1">
      <alignment vertical="center"/>
      <protection locked="0"/>
    </xf>
    <xf numFmtId="185" fontId="0" fillId="0" borderId="43" xfId="0" applyNumberFormat="1" applyFill="1" applyBorder="1" applyAlignment="1" applyProtection="1">
      <alignment horizontal="right" vertical="center"/>
      <protection locked="0"/>
    </xf>
    <xf numFmtId="185" fontId="0" fillId="0" borderId="43" xfId="0" applyNumberFormat="1" applyBorder="1" applyProtection="1">
      <alignment vertical="center"/>
      <protection locked="0"/>
    </xf>
    <xf numFmtId="185" fontId="0" fillId="0" borderId="57" xfId="0" applyNumberFormat="1" applyFill="1" applyBorder="1" applyAlignment="1" applyProtection="1">
      <alignment horizontal="right" vertical="center"/>
      <protection locked="0"/>
    </xf>
    <xf numFmtId="186" fontId="0" fillId="0" borderId="79" xfId="0" applyNumberFormat="1" applyFill="1" applyBorder="1" applyAlignment="1" applyProtection="1">
      <alignment horizontal="right" vertical="center"/>
      <protection locked="0"/>
    </xf>
    <xf numFmtId="186" fontId="0" fillId="0" borderId="87" xfId="0" applyNumberFormat="1" applyFill="1" applyBorder="1" applyAlignment="1" applyProtection="1">
      <alignment horizontal="right" vertical="center"/>
      <protection locked="0"/>
    </xf>
    <xf numFmtId="186" fontId="0" fillId="0" borderId="54" xfId="0" applyNumberFormat="1" applyFill="1" applyBorder="1" applyAlignment="1" applyProtection="1">
      <alignment horizontal="right" vertical="center"/>
      <protection locked="0"/>
    </xf>
    <xf numFmtId="186" fontId="0" fillId="0" borderId="55" xfId="0" applyNumberFormat="1" applyFill="1" applyBorder="1" applyAlignment="1" applyProtection="1">
      <alignment horizontal="right" vertical="center"/>
      <protection locked="0"/>
    </xf>
    <xf numFmtId="186" fontId="0" fillId="0" borderId="56" xfId="0" applyNumberFormat="1" applyFill="1" applyBorder="1" applyAlignment="1" applyProtection="1">
      <alignment horizontal="right" vertical="center"/>
      <protection locked="0"/>
    </xf>
    <xf numFmtId="186" fontId="0" fillId="0" borderId="56" xfId="0" applyNumberFormat="1" applyBorder="1" applyProtection="1">
      <alignment vertical="center"/>
      <protection locked="0"/>
    </xf>
    <xf numFmtId="186" fontId="0" fillId="0" borderId="87" xfId="0" applyNumberFormat="1" applyBorder="1" applyProtection="1">
      <alignment vertical="center"/>
      <protection locked="0"/>
    </xf>
    <xf numFmtId="186" fontId="0" fillId="0" borderId="54" xfId="0" applyNumberFormat="1" applyBorder="1" applyProtection="1">
      <alignment vertical="center"/>
      <protection locked="0"/>
    </xf>
    <xf numFmtId="186" fontId="0" fillId="0" borderId="55" xfId="0" applyNumberFormat="1" applyBorder="1" applyProtection="1">
      <alignment vertical="center"/>
      <protection locked="0"/>
    </xf>
    <xf numFmtId="0" fontId="6" fillId="0" borderId="0" xfId="0" applyFont="1" applyFill="1" applyBorder="1" applyProtection="1">
      <alignment vertical="center"/>
      <protection hidden="1"/>
    </xf>
    <xf numFmtId="176" fontId="0" fillId="5" borderId="71" xfId="0" applyNumberFormat="1" applyFill="1" applyBorder="1" applyAlignment="1" applyProtection="1">
      <alignment horizontal="right" vertical="center"/>
      <protection hidden="1"/>
    </xf>
    <xf numFmtId="176" fontId="0" fillId="5" borderId="17" xfId="0" applyNumberFormat="1" applyFill="1" applyBorder="1" applyAlignment="1" applyProtection="1">
      <alignment horizontal="right" vertical="center"/>
      <protection hidden="1"/>
    </xf>
    <xf numFmtId="176" fontId="0" fillId="5" borderId="130" xfId="0" applyNumberFormat="1" applyFill="1" applyBorder="1" applyAlignment="1" applyProtection="1">
      <alignment horizontal="right" vertical="center"/>
      <protection hidden="1"/>
    </xf>
    <xf numFmtId="183" fontId="0" fillId="0" borderId="0" xfId="0" applyNumberFormat="1" applyProtection="1">
      <alignment vertical="center"/>
      <protection hidden="1"/>
    </xf>
    <xf numFmtId="0" fontId="0" fillId="0" borderId="17" xfId="0" applyBorder="1" applyAlignment="1" applyProtection="1">
      <alignment horizontal="right" vertical="center"/>
      <protection hidden="1"/>
    </xf>
    <xf numFmtId="0" fontId="0" fillId="0" borderId="138" xfId="0" applyFill="1" applyBorder="1" applyAlignment="1" applyProtection="1">
      <alignment vertical="center"/>
      <protection locked="0"/>
    </xf>
    <xf numFmtId="0" fontId="0" fillId="7" borderId="138" xfId="0" applyFill="1" applyBorder="1" applyProtection="1">
      <alignment vertical="center"/>
      <protection hidden="1"/>
    </xf>
    <xf numFmtId="0" fontId="0" fillId="7" borderId="138" xfId="0" applyFill="1" applyBorder="1" applyAlignment="1" applyProtection="1">
      <alignment horizontal="center" vertical="center"/>
      <protection hidden="1"/>
    </xf>
    <xf numFmtId="4" fontId="0" fillId="8" borderId="138" xfId="0" applyNumberFormat="1" applyFill="1" applyBorder="1" applyProtection="1">
      <alignment vertical="center"/>
      <protection hidden="1"/>
    </xf>
    <xf numFmtId="186" fontId="0" fillId="0" borderId="141" xfId="0" applyNumberFormat="1" applyFill="1" applyBorder="1" applyAlignment="1" applyProtection="1">
      <alignment horizontal="right" vertical="center"/>
      <protection locked="0"/>
    </xf>
    <xf numFmtId="185" fontId="0" fillId="0" borderId="142" xfId="0" applyNumberFormat="1" applyFill="1" applyBorder="1" applyAlignment="1" applyProtection="1">
      <alignment horizontal="right" vertical="center"/>
      <protection locked="0"/>
    </xf>
    <xf numFmtId="186" fontId="0" fillId="0" borderId="141" xfId="0" applyNumberFormat="1" applyBorder="1" applyProtection="1">
      <alignment vertical="center"/>
      <protection locked="0"/>
    </xf>
    <xf numFmtId="185" fontId="0" fillId="0" borderId="142" xfId="0" applyNumberFormat="1" applyBorder="1" applyProtection="1">
      <alignment vertical="center"/>
      <protection locked="0"/>
    </xf>
    <xf numFmtId="0" fontId="0" fillId="5" borderId="144" xfId="0" applyFill="1" applyBorder="1" applyAlignment="1" applyProtection="1">
      <alignment horizontal="right" vertical="center"/>
      <protection hidden="1"/>
    </xf>
    <xf numFmtId="0" fontId="0" fillId="5" borderId="145" xfId="0" applyFill="1" applyBorder="1" applyAlignment="1" applyProtection="1">
      <alignment horizontal="left" vertical="center"/>
      <protection hidden="1"/>
    </xf>
    <xf numFmtId="0" fontId="0" fillId="5" borderId="128" xfId="0" applyFill="1" applyBorder="1" applyProtection="1">
      <alignment vertical="center"/>
      <protection hidden="1"/>
    </xf>
    <xf numFmtId="0" fontId="0" fillId="5" borderId="84" xfId="0" applyFill="1" applyBorder="1" applyAlignment="1" applyProtection="1">
      <alignment horizontal="center" vertical="center"/>
      <protection hidden="1"/>
    </xf>
    <xf numFmtId="0" fontId="0" fillId="5" borderId="128" xfId="0" applyFill="1" applyBorder="1" applyAlignment="1" applyProtection="1">
      <alignment horizontal="center" vertical="center"/>
      <protection hidden="1"/>
    </xf>
    <xf numFmtId="0" fontId="0" fillId="5" borderId="128" xfId="0" applyFill="1" applyBorder="1" applyAlignment="1" applyProtection="1">
      <alignment vertical="center"/>
      <protection locked="0"/>
    </xf>
    <xf numFmtId="0" fontId="0" fillId="5" borderId="128" xfId="0" applyFill="1" applyBorder="1" applyAlignment="1" applyProtection="1">
      <alignment vertical="center"/>
      <protection hidden="1"/>
    </xf>
    <xf numFmtId="176" fontId="0" fillId="5" borderId="128" xfId="0" applyNumberFormat="1" applyFill="1" applyBorder="1" applyAlignment="1" applyProtection="1">
      <alignment horizontal="right" vertical="center"/>
      <protection locked="0"/>
    </xf>
    <xf numFmtId="0" fontId="0" fillId="5" borderId="128" xfId="0" applyFill="1" applyBorder="1" applyAlignment="1" applyProtection="1">
      <alignment horizontal="right" vertical="center"/>
      <protection hidden="1"/>
    </xf>
    <xf numFmtId="4" fontId="0" fillId="5" borderId="128" xfId="0" applyNumberFormat="1" applyFill="1" applyBorder="1" applyProtection="1">
      <alignment vertical="center"/>
      <protection hidden="1"/>
    </xf>
    <xf numFmtId="4" fontId="0" fillId="5" borderId="128" xfId="0" applyNumberFormat="1" applyFill="1" applyBorder="1" applyAlignment="1" applyProtection="1">
      <alignment vertical="center"/>
      <protection hidden="1"/>
    </xf>
    <xf numFmtId="186" fontId="0" fillId="5" borderId="128" xfId="0" applyNumberFormat="1" applyFill="1" applyBorder="1" applyAlignment="1" applyProtection="1">
      <alignment horizontal="right" vertical="center"/>
      <protection locked="0"/>
    </xf>
    <xf numFmtId="185" fontId="0" fillId="5" borderId="128" xfId="0" applyNumberFormat="1" applyFill="1" applyBorder="1" applyAlignment="1" applyProtection="1">
      <alignment horizontal="right" vertical="center"/>
      <protection locked="0"/>
    </xf>
    <xf numFmtId="186" fontId="0" fillId="5" borderId="128" xfId="0" applyNumberFormat="1" applyFill="1" applyBorder="1" applyProtection="1">
      <alignment vertical="center"/>
      <protection locked="0"/>
    </xf>
    <xf numFmtId="185" fontId="0" fillId="5" borderId="128" xfId="0" applyNumberFormat="1" applyFill="1" applyBorder="1" applyProtection="1">
      <alignment vertical="center"/>
      <protection locked="0"/>
    </xf>
    <xf numFmtId="0" fontId="0" fillId="5" borderId="91" xfId="0" applyFill="1" applyBorder="1" applyAlignment="1" applyProtection="1">
      <alignment horizontal="center" vertical="center"/>
      <protection hidden="1"/>
    </xf>
    <xf numFmtId="176" fontId="0" fillId="5" borderId="128" xfId="0" applyNumberFormat="1" applyFill="1" applyBorder="1" applyAlignment="1" applyProtection="1">
      <alignment horizontal="right" vertical="center"/>
      <protection hidden="1"/>
    </xf>
    <xf numFmtId="186" fontId="0" fillId="5" borderId="128" xfId="0" applyNumberFormat="1" applyFill="1" applyBorder="1" applyAlignment="1" applyProtection="1">
      <alignment horizontal="right" vertical="center"/>
      <protection hidden="1"/>
    </xf>
    <xf numFmtId="185" fontId="0" fillId="5" borderId="128" xfId="0" applyNumberFormat="1" applyFill="1" applyBorder="1" applyAlignment="1" applyProtection="1">
      <alignment horizontal="right" vertical="center"/>
      <protection hidden="1"/>
    </xf>
    <xf numFmtId="186" fontId="0" fillId="5" borderId="128" xfId="0" applyNumberFormat="1" applyFill="1" applyBorder="1" applyProtection="1">
      <alignment vertical="center"/>
      <protection hidden="1"/>
    </xf>
    <xf numFmtId="185" fontId="0" fillId="5" borderId="128" xfId="0" applyNumberFormat="1" applyFill="1" applyBorder="1" applyProtection="1">
      <alignment vertical="center"/>
      <protection hidden="1"/>
    </xf>
    <xf numFmtId="0" fontId="0" fillId="5" borderId="146" xfId="0" applyFill="1" applyBorder="1" applyProtection="1">
      <alignment vertical="center"/>
      <protection hidden="1"/>
    </xf>
    <xf numFmtId="0" fontId="0" fillId="5" borderId="95" xfId="0" applyFill="1" applyBorder="1" applyAlignment="1" applyProtection="1">
      <alignment horizontal="center" vertical="center"/>
      <protection hidden="1"/>
    </xf>
    <xf numFmtId="0" fontId="0" fillId="5" borderId="146" xfId="0" applyFill="1" applyBorder="1" applyAlignment="1" applyProtection="1">
      <alignment horizontal="center" vertical="center"/>
      <protection hidden="1"/>
    </xf>
    <xf numFmtId="0" fontId="0" fillId="5" borderId="146" xfId="0" applyFill="1" applyBorder="1" applyAlignment="1" applyProtection="1">
      <alignment vertical="center"/>
      <protection hidden="1"/>
    </xf>
    <xf numFmtId="176" fontId="0" fillId="5" borderId="146" xfId="0" applyNumberFormat="1" applyFill="1" applyBorder="1" applyAlignment="1" applyProtection="1">
      <alignment horizontal="right" vertical="center"/>
      <protection hidden="1"/>
    </xf>
    <xf numFmtId="0" fontId="0" fillId="5" borderId="146" xfId="0" applyFill="1" applyBorder="1" applyAlignment="1" applyProtection="1">
      <alignment horizontal="right" vertical="center"/>
      <protection hidden="1"/>
    </xf>
    <xf numFmtId="176" fontId="0" fillId="5" borderId="146" xfId="0" applyNumberFormat="1" applyFill="1" applyBorder="1" applyProtection="1">
      <alignment vertical="center"/>
      <protection hidden="1"/>
    </xf>
    <xf numFmtId="4" fontId="0" fillId="5" borderId="146" xfId="0" applyNumberFormat="1" applyFill="1" applyBorder="1" applyProtection="1">
      <alignment vertical="center"/>
      <protection hidden="1"/>
    </xf>
    <xf numFmtId="4" fontId="0" fillId="5" borderId="146" xfId="0" applyNumberFormat="1" applyFill="1" applyBorder="1" applyAlignment="1" applyProtection="1">
      <alignment vertical="center"/>
      <protection hidden="1"/>
    </xf>
    <xf numFmtId="186" fontId="0" fillId="5" borderId="146" xfId="0" applyNumberFormat="1" applyFill="1" applyBorder="1" applyAlignment="1" applyProtection="1">
      <alignment horizontal="right" vertical="center"/>
      <protection hidden="1"/>
    </xf>
    <xf numFmtId="185" fontId="0" fillId="5" borderId="146" xfId="0" applyNumberFormat="1" applyFill="1" applyBorder="1" applyAlignment="1" applyProtection="1">
      <alignment horizontal="right" vertical="center"/>
      <protection hidden="1"/>
    </xf>
    <xf numFmtId="186" fontId="0" fillId="5" borderId="146" xfId="0" applyNumberFormat="1" applyFill="1" applyBorder="1" applyProtection="1">
      <alignment vertical="center"/>
      <protection hidden="1"/>
    </xf>
    <xf numFmtId="185" fontId="0" fillId="5" borderId="146" xfId="0" applyNumberFormat="1" applyFill="1" applyBorder="1" applyProtection="1">
      <alignment vertical="center"/>
      <protection hidden="1"/>
    </xf>
    <xf numFmtId="0" fontId="0" fillId="5" borderId="101" xfId="0" applyFill="1" applyBorder="1" applyAlignment="1" applyProtection="1">
      <alignment horizontal="center" vertical="center"/>
      <protection hidden="1"/>
    </xf>
    <xf numFmtId="0" fontId="0" fillId="5" borderId="14" xfId="0" applyFill="1" applyBorder="1" applyAlignment="1" applyProtection="1">
      <alignment horizontal="right" vertical="center"/>
      <protection hidden="1"/>
    </xf>
    <xf numFmtId="0" fontId="0" fillId="5" borderId="0" xfId="0" applyFill="1" applyBorder="1" applyAlignment="1" applyProtection="1">
      <alignment horizontal="center" vertical="center"/>
      <protection hidden="1"/>
    </xf>
    <xf numFmtId="0" fontId="0" fillId="5" borderId="124" xfId="0" applyFill="1" applyBorder="1" applyAlignment="1" applyProtection="1">
      <alignment horizontal="center" vertical="center"/>
      <protection hidden="1"/>
    </xf>
    <xf numFmtId="0" fontId="0" fillId="5" borderId="112" xfId="0" applyFill="1" applyBorder="1" applyAlignment="1" applyProtection="1">
      <alignment horizontal="center" vertical="center"/>
      <protection hidden="1"/>
    </xf>
    <xf numFmtId="0" fontId="0" fillId="5" borderId="122" xfId="0" applyFill="1" applyBorder="1" applyProtection="1">
      <alignment vertical="center"/>
      <protection hidden="1"/>
    </xf>
    <xf numFmtId="176" fontId="0" fillId="5" borderId="128" xfId="0" applyNumberFormat="1" applyFill="1" applyBorder="1" applyAlignment="1" applyProtection="1">
      <alignment vertical="center"/>
      <protection locked="0"/>
    </xf>
    <xf numFmtId="176" fontId="0" fillId="5" borderId="14" xfId="0" applyNumberFormat="1" applyFill="1" applyBorder="1" applyAlignment="1" applyProtection="1">
      <alignment vertical="center"/>
      <protection hidden="1"/>
    </xf>
    <xf numFmtId="176" fontId="0" fillId="5" borderId="128" xfId="0" applyNumberFormat="1" applyFill="1" applyBorder="1" applyAlignment="1" applyProtection="1">
      <alignment vertical="center"/>
      <protection hidden="1"/>
    </xf>
    <xf numFmtId="176" fontId="0" fillId="5" borderId="112" xfId="0" applyNumberFormat="1" applyFill="1" applyBorder="1" applyAlignment="1" applyProtection="1">
      <alignment vertical="center"/>
      <protection hidden="1"/>
    </xf>
    <xf numFmtId="0" fontId="18" fillId="0" borderId="0" xfId="0" applyFont="1" applyAlignment="1">
      <alignment horizontal="center" vertical="center"/>
    </xf>
    <xf numFmtId="0" fontId="0" fillId="0" borderId="0" xfId="0" applyFill="1" applyBorder="1" applyAlignment="1" applyProtection="1">
      <alignment horizontal="center" vertical="center"/>
      <protection hidden="1"/>
    </xf>
    <xf numFmtId="0" fontId="18" fillId="0" borderId="0" xfId="0" applyFont="1" applyAlignment="1" applyProtection="1">
      <alignment horizontal="center" vertical="center"/>
      <protection hidden="1"/>
    </xf>
    <xf numFmtId="0" fontId="29" fillId="0" borderId="0" xfId="0" applyFont="1" applyAlignment="1">
      <alignment horizontal="center" vertical="center"/>
    </xf>
    <xf numFmtId="0" fontId="0" fillId="5" borderId="2"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0" fontId="0" fillId="4" borderId="1" xfId="0" applyFill="1" applyBorder="1" applyAlignment="1" applyProtection="1">
      <alignment vertical="center"/>
      <protection hidden="1"/>
    </xf>
    <xf numFmtId="0" fontId="0" fillId="4" borderId="21" xfId="0" applyFill="1" applyBorder="1" applyAlignment="1" applyProtection="1">
      <alignment vertical="center"/>
      <protection hidden="1"/>
    </xf>
    <xf numFmtId="0" fontId="0" fillId="5" borderId="50" xfId="0"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21" xfId="0" applyFill="1" applyBorder="1" applyAlignment="1" applyProtection="1">
      <alignment horizontal="center" vertical="center"/>
      <protection hidden="1"/>
    </xf>
    <xf numFmtId="4" fontId="0" fillId="0" borderId="1" xfId="0" applyNumberFormat="1" applyBorder="1" applyAlignment="1" applyProtection="1">
      <alignment vertical="center"/>
      <protection locked="0"/>
    </xf>
    <xf numFmtId="4" fontId="0" fillId="0" borderId="58" xfId="0" applyNumberFormat="1" applyBorder="1" applyAlignment="1" applyProtection="1">
      <alignment vertical="center"/>
      <protection locked="0"/>
    </xf>
    <xf numFmtId="4" fontId="0" fillId="0" borderId="17" xfId="0" applyNumberFormat="1" applyBorder="1" applyAlignment="1" applyProtection="1">
      <alignment vertical="center"/>
      <protection locked="0"/>
    </xf>
    <xf numFmtId="176" fontId="0" fillId="0" borderId="58" xfId="0" applyNumberFormat="1" applyBorder="1" applyAlignment="1" applyProtection="1">
      <alignment vertical="center"/>
      <protection locked="0"/>
    </xf>
    <xf numFmtId="0" fontId="0" fillId="5" borderId="58" xfId="0"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0" fontId="0" fillId="5" borderId="4" xfId="0" applyFill="1" applyBorder="1" applyAlignment="1" applyProtection="1">
      <alignment vertical="center"/>
      <protection hidden="1"/>
    </xf>
    <xf numFmtId="0" fontId="0" fillId="7" borderId="6" xfId="0" applyFill="1" applyBorder="1" applyAlignment="1" applyProtection="1">
      <alignment horizontal="center" vertical="center"/>
      <protection hidden="1"/>
    </xf>
    <xf numFmtId="0" fontId="0" fillId="5" borderId="49" xfId="0" applyFill="1" applyBorder="1" applyAlignment="1" applyProtection="1">
      <alignment horizontal="center" vertical="center"/>
      <protection hidden="1"/>
    </xf>
    <xf numFmtId="0" fontId="0" fillId="10" borderId="6" xfId="0" applyFill="1" applyBorder="1" applyAlignment="1" applyProtection="1">
      <alignment horizontal="center" vertical="center"/>
      <protection hidden="1"/>
    </xf>
    <xf numFmtId="0" fontId="0" fillId="5" borderId="123" xfId="0" applyFill="1" applyBorder="1" applyAlignment="1" applyProtection="1">
      <alignment horizontal="center" vertical="center"/>
      <protection hidden="1"/>
    </xf>
    <xf numFmtId="0" fontId="0" fillId="5" borderId="112" xfId="0" applyFill="1" applyBorder="1" applyAlignment="1" applyProtection="1">
      <alignment horizontal="center" vertical="center"/>
      <protection hidden="1"/>
    </xf>
    <xf numFmtId="0" fontId="0" fillId="0" borderId="14" xfId="0" applyFill="1" applyBorder="1" applyProtection="1">
      <alignment vertical="center"/>
      <protection hidden="1"/>
    </xf>
    <xf numFmtId="0" fontId="0" fillId="5" borderId="36" xfId="0" quotePrefix="1" applyFill="1" applyBorder="1" applyAlignment="1" applyProtection="1">
      <alignment horizontal="center" vertical="center"/>
      <protection hidden="1"/>
    </xf>
    <xf numFmtId="0" fontId="0" fillId="0" borderId="0" xfId="0" applyFill="1" applyBorder="1" applyAlignment="1">
      <alignment vertical="center"/>
    </xf>
    <xf numFmtId="0" fontId="0" fillId="0" borderId="14" xfId="0" applyFill="1" applyBorder="1" applyAlignment="1" applyProtection="1">
      <alignment horizontal="left" vertical="center"/>
      <protection hidden="1"/>
    </xf>
    <xf numFmtId="176" fontId="0" fillId="0" borderId="13" xfId="0" applyNumberFormat="1" applyBorder="1" applyAlignment="1" applyProtection="1">
      <alignment vertical="center"/>
      <protection hidden="1"/>
    </xf>
    <xf numFmtId="0" fontId="0" fillId="5" borderId="82" xfId="0" quotePrefix="1" applyFill="1" applyBorder="1" applyAlignment="1" applyProtection="1">
      <alignment horizontal="right" vertical="center"/>
      <protection hidden="1"/>
    </xf>
    <xf numFmtId="0" fontId="0" fillId="5" borderId="115" xfId="0" quotePrefix="1" applyFill="1" applyBorder="1" applyAlignment="1" applyProtection="1">
      <alignment horizontal="right" vertical="center"/>
      <protection hidden="1"/>
    </xf>
    <xf numFmtId="0" fontId="0" fillId="5" borderId="5" xfId="0" applyFill="1" applyBorder="1" applyAlignment="1" applyProtection="1">
      <alignment vertical="center"/>
      <protection hidden="1"/>
    </xf>
    <xf numFmtId="0" fontId="0" fillId="5" borderId="5"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0" fillId="0" borderId="17" xfId="0" applyBorder="1" applyAlignment="1" applyProtection="1">
      <alignment horizontal="right" vertical="center"/>
      <protection hidden="1"/>
    </xf>
    <xf numFmtId="0" fontId="0" fillId="0" borderId="112" xfId="0" applyFill="1" applyBorder="1" applyAlignment="1" applyProtection="1">
      <alignment vertical="center"/>
      <protection locked="0"/>
    </xf>
    <xf numFmtId="0" fontId="28" fillId="13" borderId="123" xfId="0" applyNumberFormat="1" applyFont="1" applyFill="1" applyBorder="1" applyAlignment="1" applyProtection="1">
      <protection hidden="1"/>
    </xf>
    <xf numFmtId="0" fontId="0" fillId="13" borderId="126" xfId="0" applyNumberFormat="1" applyFill="1" applyBorder="1" applyAlignment="1" applyProtection="1">
      <protection hidden="1"/>
    </xf>
    <xf numFmtId="0" fontId="0" fillId="13" borderId="124" xfId="0" applyNumberFormat="1" applyFill="1" applyBorder="1" applyAlignment="1" applyProtection="1">
      <protection hidden="1"/>
    </xf>
    <xf numFmtId="0" fontId="0" fillId="14" borderId="112" xfId="0" applyNumberFormat="1" applyFill="1" applyBorder="1" applyAlignment="1" applyProtection="1">
      <alignment horizontal="center" vertical="center"/>
      <protection hidden="1"/>
    </xf>
    <xf numFmtId="4" fontId="0" fillId="0" borderId="112" xfId="0" applyNumberFormat="1" applyFill="1" applyBorder="1" applyAlignment="1" applyProtection="1">
      <alignment horizontal="center"/>
      <protection locked="0"/>
    </xf>
    <xf numFmtId="0" fontId="1" fillId="0" borderId="112" xfId="0" applyNumberFormat="1" applyFont="1" applyFill="1" applyBorder="1" applyAlignment="1" applyProtection="1">
      <protection locked="0"/>
    </xf>
    <xf numFmtId="0" fontId="7" fillId="0" borderId="0" xfId="0" applyFont="1" applyFill="1" applyBorder="1" applyAlignment="1" applyProtection="1">
      <alignment horizontal="center"/>
      <protection hidden="1"/>
    </xf>
    <xf numFmtId="176" fontId="0" fillId="0" borderId="0" xfId="0" applyNumberFormat="1" applyFill="1" applyBorder="1" applyAlignment="1" applyProtection="1">
      <protection hidden="1"/>
    </xf>
    <xf numFmtId="176" fontId="0" fillId="0" borderId="112" xfId="0" applyNumberFormat="1" applyFill="1" applyBorder="1" applyAlignment="1" applyProtection="1">
      <protection locked="0"/>
    </xf>
    <xf numFmtId="3" fontId="0" fillId="0" borderId="0" xfId="0" applyNumberFormat="1" applyFill="1" applyBorder="1" applyAlignment="1" applyProtection="1">
      <alignment horizontal="center"/>
      <protection hidden="1"/>
    </xf>
    <xf numFmtId="0" fontId="0" fillId="15" borderId="112" xfId="0" applyFill="1" applyBorder="1" applyAlignment="1" applyProtection="1">
      <protection hidden="1"/>
    </xf>
    <xf numFmtId="4" fontId="0" fillId="0" borderId="112" xfId="0" applyNumberFormat="1" applyBorder="1" applyAlignment="1" applyProtection="1">
      <protection hidden="1"/>
    </xf>
    <xf numFmtId="176" fontId="0" fillId="0" borderId="112" xfId="0" applyNumberFormat="1" applyFill="1" applyBorder="1" applyAlignment="1" applyProtection="1">
      <alignment horizontal="right"/>
      <protection locked="0"/>
    </xf>
    <xf numFmtId="176" fontId="1" fillId="2" borderId="112" xfId="0" applyNumberFormat="1" applyFont="1" applyFill="1" applyBorder="1" applyAlignment="1" applyProtection="1">
      <alignment horizontal="left"/>
      <protection locked="0"/>
    </xf>
    <xf numFmtId="0" fontId="9" fillId="0" borderId="0" xfId="0" applyNumberFormat="1" applyFont="1" applyFill="1" applyBorder="1" applyAlignment="1" applyProtection="1">
      <alignment horizontal="center"/>
      <protection hidden="1"/>
    </xf>
    <xf numFmtId="0" fontId="0" fillId="0" borderId="112" xfId="0" applyNumberFormat="1" applyBorder="1" applyAlignment="1" applyProtection="1">
      <protection hidden="1"/>
    </xf>
    <xf numFmtId="0" fontId="0" fillId="0" borderId="112" xfId="0" applyNumberFormat="1" applyBorder="1" applyAlignment="1" applyProtection="1">
      <alignment horizontal="center"/>
      <protection hidden="1"/>
    </xf>
    <xf numFmtId="0" fontId="0" fillId="0" borderId="0" xfId="0" applyNumberFormat="1" applyAlignment="1" applyProtection="1">
      <alignment horizontal="right"/>
      <protection hidden="1"/>
    </xf>
    <xf numFmtId="0" fontId="0" fillId="0" borderId="0" xfId="0" applyNumberFormat="1" applyAlignment="1" applyProtection="1">
      <alignment horizontal="center"/>
      <protection hidden="1"/>
    </xf>
    <xf numFmtId="182" fontId="0" fillId="0" borderId="0" xfId="0" applyNumberFormat="1" applyAlignment="1" applyProtection="1">
      <protection hidden="1"/>
    </xf>
    <xf numFmtId="0" fontId="1" fillId="0" borderId="112" xfId="0" applyNumberFormat="1" applyFont="1" applyFill="1" applyBorder="1" applyAlignment="1" applyProtection="1">
      <protection hidden="1"/>
    </xf>
    <xf numFmtId="0" fontId="1" fillId="0" borderId="123" xfId="0" applyNumberFormat="1" applyFont="1" applyFill="1" applyBorder="1" applyAlignment="1" applyProtection="1">
      <protection hidden="1"/>
    </xf>
    <xf numFmtId="0" fontId="0" fillId="15" borderId="24" xfId="0" applyFill="1" applyBorder="1" applyAlignment="1" applyProtection="1">
      <protection hidden="1"/>
    </xf>
    <xf numFmtId="0" fontId="2" fillId="15" borderId="25" xfId="0" applyFont="1" applyFill="1" applyBorder="1" applyAlignment="1" applyProtection="1">
      <protection hidden="1"/>
    </xf>
    <xf numFmtId="0" fontId="0" fillId="15" borderId="25" xfId="0" applyFill="1" applyBorder="1" applyAlignment="1" applyProtection="1">
      <protection hidden="1"/>
    </xf>
    <xf numFmtId="0" fontId="0" fillId="15" borderId="26" xfId="0" applyFill="1" applyBorder="1" applyAlignment="1" applyProtection="1">
      <protection hidden="1"/>
    </xf>
    <xf numFmtId="0" fontId="0" fillId="15" borderId="27" xfId="0" applyFill="1" applyBorder="1" applyAlignment="1" applyProtection="1">
      <protection hidden="1"/>
    </xf>
    <xf numFmtId="0" fontId="0" fillId="0" borderId="123" xfId="0" applyNumberFormat="1" applyFill="1" applyBorder="1" applyAlignment="1" applyProtection="1">
      <protection hidden="1"/>
    </xf>
    <xf numFmtId="0" fontId="2" fillId="0" borderId="0" xfId="0" applyFont="1" applyFill="1" applyBorder="1" applyAlignment="1" applyProtection="1">
      <protection hidden="1"/>
    </xf>
    <xf numFmtId="0" fontId="0" fillId="0" borderId="112" xfId="0" applyFill="1" applyBorder="1" applyAlignment="1" applyProtection="1">
      <protection hidden="1"/>
    </xf>
    <xf numFmtId="0" fontId="0" fillId="0" borderId="123" xfId="0" applyFill="1" applyBorder="1" applyAlignment="1" applyProtection="1">
      <protection hidden="1"/>
    </xf>
    <xf numFmtId="0" fontId="0" fillId="15" borderId="28" xfId="0" applyFill="1" applyBorder="1" applyAlignment="1" applyProtection="1">
      <alignment horizontal="center" vertical="center"/>
      <protection hidden="1"/>
    </xf>
    <xf numFmtId="0" fontId="0" fillId="15" borderId="29" xfId="0" applyFill="1" applyBorder="1" applyAlignment="1" applyProtection="1">
      <alignment horizontal="center" vertical="center"/>
      <protection hidden="1"/>
    </xf>
    <xf numFmtId="0" fontId="0" fillId="15" borderId="30" xfId="0" applyFill="1" applyBorder="1" applyAlignment="1" applyProtection="1">
      <alignment horizontal="center" vertical="center"/>
      <protection hidden="1"/>
    </xf>
    <xf numFmtId="0" fontId="1" fillId="15" borderId="31" xfId="0" applyFont="1" applyFill="1" applyBorder="1" applyAlignment="1" applyProtection="1">
      <protection hidden="1"/>
    </xf>
    <xf numFmtId="0" fontId="0" fillId="15" borderId="17" xfId="0" applyFill="1" applyBorder="1" applyAlignment="1" applyProtection="1">
      <protection hidden="1"/>
    </xf>
    <xf numFmtId="0" fontId="0" fillId="15" borderId="17" xfId="0" applyFill="1" applyBorder="1" applyAlignment="1" applyProtection="1">
      <alignment horizontal="center"/>
      <protection hidden="1"/>
    </xf>
    <xf numFmtId="176" fontId="0" fillId="15" borderId="17" xfId="0" applyNumberFormat="1" applyFill="1" applyBorder="1" applyAlignment="1" applyProtection="1">
      <protection hidden="1"/>
    </xf>
    <xf numFmtId="0" fontId="1" fillId="15" borderId="34" xfId="0" applyFont="1" applyFill="1" applyBorder="1" applyAlignment="1" applyProtection="1">
      <protection hidden="1"/>
    </xf>
    <xf numFmtId="0" fontId="0" fillId="15" borderId="112" xfId="0" applyFill="1" applyBorder="1" applyAlignment="1" applyProtection="1">
      <alignment horizontal="center"/>
      <protection hidden="1"/>
    </xf>
    <xf numFmtId="0" fontId="1" fillId="0" borderId="119" xfId="0" applyNumberFormat="1" applyFont="1" applyFill="1" applyBorder="1" applyAlignment="1" applyProtection="1">
      <protection hidden="1"/>
    </xf>
    <xf numFmtId="0" fontId="0" fillId="0" borderId="112" xfId="0" applyNumberFormat="1" applyFill="1" applyBorder="1" applyAlignment="1" applyProtection="1">
      <protection hidden="1"/>
    </xf>
    <xf numFmtId="0" fontId="0" fillId="0" borderId="123" xfId="0" applyNumberFormat="1" applyFill="1" applyBorder="1" applyAlignment="1" applyProtection="1">
      <alignment horizontal="left"/>
      <protection hidden="1"/>
    </xf>
    <xf numFmtId="0" fontId="0" fillId="0" borderId="126" xfId="0" applyNumberFormat="1" applyFill="1" applyBorder="1" applyAlignment="1" applyProtection="1">
      <alignment horizontal="left"/>
      <protection hidden="1"/>
    </xf>
    <xf numFmtId="0" fontId="1" fillId="15" borderId="36" xfId="0" applyFont="1" applyFill="1" applyBorder="1" applyAlignment="1" applyProtection="1">
      <protection hidden="1"/>
    </xf>
    <xf numFmtId="0" fontId="0" fillId="15" borderId="21" xfId="0" applyFill="1" applyBorder="1" applyAlignment="1" applyProtection="1">
      <protection hidden="1"/>
    </xf>
    <xf numFmtId="0" fontId="0" fillId="15" borderId="21" xfId="0" applyFill="1" applyBorder="1" applyAlignment="1" applyProtection="1">
      <alignment horizontal="center"/>
      <protection hidden="1"/>
    </xf>
    <xf numFmtId="0" fontId="1" fillId="0" borderId="123" xfId="0" applyNumberFormat="1" applyFont="1" applyFill="1" applyBorder="1" applyAlignment="1" applyProtection="1">
      <alignment horizontal="left"/>
      <protection hidden="1"/>
    </xf>
    <xf numFmtId="0" fontId="0" fillId="0" borderId="0" xfId="0" applyBorder="1" applyAlignment="1" applyProtection="1">
      <protection hidden="1"/>
    </xf>
    <xf numFmtId="0" fontId="0" fillId="0" borderId="0" xfId="0" applyNumberFormat="1" applyAlignment="1" applyProtection="1">
      <alignment horizontal="left"/>
      <protection hidden="1"/>
    </xf>
    <xf numFmtId="0" fontId="0" fillId="0" borderId="112" xfId="0" applyFill="1" applyBorder="1" applyAlignment="1" applyProtection="1">
      <alignment horizontal="center"/>
      <protection hidden="1"/>
    </xf>
    <xf numFmtId="0" fontId="0" fillId="0" borderId="112" xfId="0" applyBorder="1" applyAlignment="1" applyProtection="1">
      <protection hidden="1"/>
    </xf>
    <xf numFmtId="0" fontId="0" fillId="0" borderId="126" xfId="0" applyBorder="1" applyAlignment="1" applyProtection="1">
      <protection hidden="1"/>
    </xf>
    <xf numFmtId="176" fontId="0" fillId="0" borderId="123" xfId="0" applyNumberFormat="1" applyBorder="1" applyAlignment="1" applyProtection="1">
      <protection hidden="1"/>
    </xf>
    <xf numFmtId="0" fontId="0" fillId="0" borderId="121" xfId="0" applyBorder="1" applyAlignment="1" applyProtection="1">
      <protection hidden="1"/>
    </xf>
    <xf numFmtId="4" fontId="0" fillId="0" borderId="121" xfId="0" applyNumberFormat="1" applyBorder="1" applyAlignment="1" applyProtection="1">
      <protection hidden="1"/>
    </xf>
    <xf numFmtId="4" fontId="0" fillId="0" borderId="17" xfId="0" applyNumberFormat="1" applyBorder="1" applyAlignment="1" applyProtection="1">
      <protection hidden="1"/>
    </xf>
    <xf numFmtId="4" fontId="0" fillId="0" borderId="112" xfId="0" applyNumberFormat="1" applyBorder="1" applyAlignment="1" applyProtection="1">
      <alignment horizontal="center"/>
      <protection hidden="1"/>
    </xf>
    <xf numFmtId="176" fontId="0" fillId="0" borderId="0" xfId="0" applyNumberFormat="1" applyBorder="1" applyAlignment="1" applyProtection="1">
      <protection hidden="1"/>
    </xf>
    <xf numFmtId="176" fontId="0" fillId="0" borderId="126" xfId="0" applyNumberFormat="1" applyBorder="1" applyAlignment="1" applyProtection="1">
      <protection hidden="1"/>
    </xf>
    <xf numFmtId="4" fontId="0" fillId="0" borderId="0" xfId="0" applyNumberFormat="1" applyBorder="1" applyAlignment="1" applyProtection="1">
      <protection hidden="1"/>
    </xf>
    <xf numFmtId="4" fontId="0" fillId="0" borderId="123" xfId="0" applyNumberFormat="1" applyBorder="1" applyAlignment="1" applyProtection="1">
      <protection hidden="1"/>
    </xf>
    <xf numFmtId="4" fontId="0" fillId="0" borderId="124" xfId="0" applyNumberFormat="1" applyBorder="1" applyAlignment="1" applyProtection="1">
      <protection hidden="1"/>
    </xf>
    <xf numFmtId="4" fontId="0" fillId="0" borderId="0" xfId="0" applyNumberFormat="1" applyAlignment="1" applyProtection="1">
      <protection hidden="1"/>
    </xf>
    <xf numFmtId="0" fontId="0" fillId="5" borderId="123" xfId="0" applyNumberFormat="1" applyFill="1" applyBorder="1" applyAlignment="1" applyProtection="1">
      <protection hidden="1"/>
    </xf>
    <xf numFmtId="0" fontId="0" fillId="5" borderId="124" xfId="0" applyNumberFormat="1" applyFill="1" applyBorder="1" applyAlignment="1" applyProtection="1">
      <protection hidden="1"/>
    </xf>
    <xf numFmtId="0" fontId="0" fillId="5" borderId="123" xfId="0" applyNumberFormat="1" applyFill="1" applyBorder="1" applyAlignment="1" applyProtection="1">
      <alignment horizontal="center"/>
      <protection hidden="1"/>
    </xf>
    <xf numFmtId="0" fontId="0" fillId="5" borderId="112" xfId="0" applyFill="1" applyBorder="1" applyAlignment="1" applyProtection="1">
      <alignment horizontal="center"/>
      <protection hidden="1"/>
    </xf>
    <xf numFmtId="0" fontId="1" fillId="5" borderId="124" xfId="0" applyNumberFormat="1" applyFont="1" applyFill="1" applyBorder="1" applyAlignment="1" applyProtection="1">
      <alignment horizontal="right"/>
      <protection hidden="1"/>
    </xf>
    <xf numFmtId="0" fontId="1" fillId="5" borderId="123" xfId="0" applyNumberFormat="1" applyFont="1" applyFill="1" applyBorder="1" applyAlignment="1" applyProtection="1">
      <protection hidden="1"/>
    </xf>
    <xf numFmtId="0" fontId="0" fillId="5" borderId="112" xfId="0" applyNumberFormat="1" applyFill="1" applyBorder="1" applyAlignment="1" applyProtection="1">
      <alignment horizontal="center"/>
      <protection hidden="1"/>
    </xf>
    <xf numFmtId="0" fontId="0" fillId="5" borderId="120" xfId="0" applyNumberFormat="1" applyFill="1" applyBorder="1" applyAlignment="1" applyProtection="1">
      <protection hidden="1"/>
    </xf>
    <xf numFmtId="0" fontId="9" fillId="5" borderId="112" xfId="0" applyNumberFormat="1" applyFont="1" applyFill="1" applyBorder="1" applyAlignment="1" applyProtection="1">
      <alignment horizontal="center"/>
      <protection hidden="1"/>
    </xf>
    <xf numFmtId="0" fontId="0" fillId="5" borderId="112" xfId="0" applyNumberFormat="1" applyFill="1" applyBorder="1" applyAlignment="1" applyProtection="1">
      <protection hidden="1"/>
    </xf>
    <xf numFmtId="0" fontId="0" fillId="5" borderId="130" xfId="0" applyNumberFormat="1" applyFill="1" applyBorder="1" applyAlignment="1" applyProtection="1">
      <alignment horizontal="center"/>
      <protection hidden="1"/>
    </xf>
    <xf numFmtId="0" fontId="1" fillId="5" borderId="123" xfId="0" applyNumberFormat="1" applyFont="1" applyFill="1" applyBorder="1" applyAlignment="1" applyProtection="1">
      <alignment horizontal="center" vertical="center"/>
      <protection hidden="1"/>
    </xf>
    <xf numFmtId="0" fontId="0" fillId="5" borderId="123" xfId="0" applyNumberFormat="1" applyFill="1" applyBorder="1" applyAlignment="1" applyProtection="1">
      <alignment horizontal="right"/>
      <protection hidden="1"/>
    </xf>
    <xf numFmtId="0" fontId="0" fillId="5" borderId="112" xfId="0" applyNumberFormat="1" applyFill="1" applyBorder="1" applyAlignment="1" applyProtection="1">
      <alignment horizontal="center" vertical="center"/>
      <protection hidden="1"/>
    </xf>
    <xf numFmtId="3" fontId="1" fillId="5" borderId="112" xfId="0" applyNumberFormat="1" applyFont="1" applyFill="1" applyBorder="1" applyAlignment="1" applyProtection="1">
      <protection hidden="1"/>
    </xf>
    <xf numFmtId="3" fontId="0" fillId="5" borderId="112" xfId="0" applyNumberFormat="1" applyFill="1" applyBorder="1" applyAlignment="1" applyProtection="1">
      <protection hidden="1"/>
    </xf>
    <xf numFmtId="0" fontId="1" fillId="5" borderId="112" xfId="0" applyNumberFormat="1" applyFont="1" applyFill="1" applyBorder="1" applyAlignment="1" applyProtection="1">
      <protection hidden="1"/>
    </xf>
    <xf numFmtId="4" fontId="0" fillId="5" borderId="17" xfId="0" applyNumberFormat="1" applyFill="1" applyBorder="1" applyAlignment="1" applyProtection="1">
      <protection hidden="1"/>
    </xf>
    <xf numFmtId="176" fontId="9" fillId="5" borderId="112" xfId="0" applyNumberFormat="1" applyFont="1" applyFill="1" applyBorder="1" applyAlignment="1" applyProtection="1">
      <alignment horizontal="center"/>
      <protection hidden="1"/>
    </xf>
    <xf numFmtId="176" fontId="0" fillId="5" borderId="112" xfId="0" applyNumberFormat="1" applyFill="1" applyBorder="1" applyAlignment="1" applyProtection="1">
      <protection hidden="1"/>
    </xf>
    <xf numFmtId="4" fontId="0" fillId="5" borderId="112" xfId="0" applyNumberFormat="1" applyFill="1" applyBorder="1" applyAlignment="1" applyProtection="1">
      <alignment horizontal="center"/>
      <protection hidden="1"/>
    </xf>
    <xf numFmtId="3" fontId="0" fillId="5" borderId="112" xfId="0" applyNumberFormat="1" applyFill="1" applyBorder="1" applyAlignment="1" applyProtection="1">
      <alignment horizontal="right"/>
      <protection hidden="1"/>
    </xf>
    <xf numFmtId="4" fontId="0" fillId="5" borderId="112" xfId="0" applyNumberFormat="1" applyFill="1" applyBorder="1" applyAlignment="1" applyProtection="1">
      <protection hidden="1"/>
    </xf>
    <xf numFmtId="3" fontId="1" fillId="5" borderId="112" xfId="0" applyNumberFormat="1" applyFont="1" applyFill="1" applyBorder="1" applyAlignment="1" applyProtection="1">
      <alignment horizontal="right"/>
      <protection hidden="1"/>
    </xf>
    <xf numFmtId="0" fontId="0" fillId="9" borderId="112" xfId="0" applyNumberFormat="1" applyFill="1" applyBorder="1" applyAlignment="1" applyProtection="1">
      <protection locked="0"/>
    </xf>
    <xf numFmtId="0" fontId="0" fillId="5" borderId="123" xfId="0" applyNumberFormat="1" applyFill="1" applyBorder="1" applyAlignment="1" applyProtection="1">
      <alignment horizontal="center" vertical="center"/>
      <protection hidden="1"/>
    </xf>
    <xf numFmtId="0" fontId="0" fillId="5" borderId="124" xfId="0" applyNumberFormat="1" applyFill="1" applyBorder="1" applyAlignment="1" applyProtection="1">
      <alignment horizontal="center" vertical="center"/>
      <protection hidden="1"/>
    </xf>
    <xf numFmtId="3" fontId="0" fillId="15" borderId="17" xfId="0" applyNumberFormat="1" applyFill="1" applyBorder="1" applyAlignment="1" applyProtection="1">
      <protection hidden="1"/>
    </xf>
    <xf numFmtId="4" fontId="0" fillId="0" borderId="0" xfId="0" applyNumberFormat="1" applyFill="1" applyBorder="1" applyAlignment="1" applyProtection="1">
      <alignment horizontal="center"/>
      <protection hidden="1"/>
    </xf>
    <xf numFmtId="0" fontId="0" fillId="9" borderId="112" xfId="0" applyNumberFormat="1" applyFill="1" applyBorder="1" applyAlignment="1" applyProtection="1">
      <alignment horizontal="center" vertical="center"/>
      <protection locked="0"/>
    </xf>
    <xf numFmtId="3" fontId="0" fillId="5" borderId="130" xfId="0" applyNumberFormat="1" applyFill="1" applyBorder="1" applyAlignment="1" applyProtection="1">
      <protection hidden="1"/>
    </xf>
    <xf numFmtId="3" fontId="0" fillId="5" borderId="17" xfId="0" applyNumberFormat="1" applyFill="1" applyBorder="1" applyAlignment="1" applyProtection="1">
      <protection hidden="1"/>
    </xf>
    <xf numFmtId="0" fontId="0" fillId="5" borderId="123" xfId="0" applyFill="1" applyBorder="1" applyAlignment="1" applyProtection="1">
      <alignment horizontal="center"/>
      <protection hidden="1"/>
    </xf>
    <xf numFmtId="176" fontId="0" fillId="5" borderId="0" xfId="0" applyNumberFormat="1" applyFill="1" applyBorder="1" applyAlignment="1" applyProtection="1">
      <protection hidden="1"/>
    </xf>
    <xf numFmtId="0" fontId="0" fillId="5" borderId="21" xfId="0" applyFill="1" applyBorder="1" applyAlignment="1" applyProtection="1">
      <alignment vertical="center"/>
      <protection hidden="1"/>
    </xf>
    <xf numFmtId="0" fontId="0" fillId="5" borderId="112" xfId="0" applyFill="1" applyBorder="1" applyAlignment="1" applyProtection="1">
      <alignment vertical="center"/>
      <protection hidden="1"/>
    </xf>
    <xf numFmtId="0" fontId="0" fillId="5" borderId="112" xfId="0" applyFill="1" applyBorder="1" applyAlignment="1" applyProtection="1">
      <alignment horizontal="center" vertical="center"/>
      <protection hidden="1"/>
    </xf>
    <xf numFmtId="0" fontId="32" fillId="5" borderId="86" xfId="0" applyFont="1" applyFill="1" applyBorder="1" applyAlignment="1" applyProtection="1">
      <alignment horizontal="center" vertical="center"/>
      <protection hidden="1"/>
    </xf>
    <xf numFmtId="0" fontId="32" fillId="5" borderId="147" xfId="0" applyFont="1" applyFill="1" applyBorder="1" applyAlignment="1" applyProtection="1">
      <alignment horizontal="center" vertical="center"/>
      <protection hidden="1"/>
    </xf>
    <xf numFmtId="0" fontId="32" fillId="5" borderId="44" xfId="0" applyFont="1" applyFill="1" applyBorder="1" applyAlignment="1" applyProtection="1">
      <alignment horizontal="center" vertical="center"/>
      <protection hidden="1"/>
    </xf>
    <xf numFmtId="0" fontId="32" fillId="5" borderId="138" xfId="0" applyFont="1" applyFill="1" applyBorder="1" applyAlignment="1" applyProtection="1">
      <alignment horizontal="center" vertical="center"/>
      <protection hidden="1"/>
    </xf>
    <xf numFmtId="0" fontId="0" fillId="5" borderId="41" xfId="0" applyFill="1" applyBorder="1" applyProtection="1">
      <alignment vertical="center"/>
      <protection hidden="1"/>
    </xf>
    <xf numFmtId="0" fontId="32" fillId="5" borderId="112" xfId="0" applyFont="1" applyFill="1" applyBorder="1" applyAlignment="1" applyProtection="1">
      <alignment horizontal="center" vertical="center"/>
      <protection hidden="1"/>
    </xf>
    <xf numFmtId="0" fontId="32" fillId="5" borderId="21" xfId="0" applyFont="1" applyFill="1" applyBorder="1" applyAlignment="1" applyProtection="1">
      <alignment horizontal="center" vertical="center"/>
      <protection hidden="1"/>
    </xf>
    <xf numFmtId="0" fontId="0" fillId="5" borderId="13" xfId="0" applyNumberFormat="1" applyFill="1" applyBorder="1" applyProtection="1">
      <alignment vertical="center"/>
      <protection hidden="1"/>
    </xf>
    <xf numFmtId="0" fontId="0" fillId="5" borderId="123" xfId="0" applyNumberFormat="1" applyFill="1" applyBorder="1" applyProtection="1">
      <alignment vertical="center"/>
      <protection hidden="1"/>
    </xf>
    <xf numFmtId="4" fontId="0" fillId="0" borderId="1" xfId="0" applyNumberFormat="1" applyBorder="1" applyAlignment="1" applyProtection="1">
      <alignment vertical="center"/>
      <protection locked="0"/>
    </xf>
    <xf numFmtId="176" fontId="0" fillId="0" borderId="112" xfId="0" applyNumberFormat="1" applyBorder="1" applyAlignment="1" applyProtection="1">
      <alignment vertical="center"/>
      <protection locked="0"/>
    </xf>
    <xf numFmtId="4" fontId="0" fillId="0" borderId="112" xfId="0" applyNumberFormat="1" applyBorder="1" applyAlignment="1" applyProtection="1">
      <alignment vertical="center"/>
      <protection locked="0"/>
    </xf>
    <xf numFmtId="4" fontId="0" fillId="0" borderId="17"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5" borderId="112" xfId="0" applyNumberFormat="1" applyFill="1" applyBorder="1" applyAlignment="1" applyProtection="1">
      <alignment vertical="center"/>
      <protection hidden="1"/>
    </xf>
    <xf numFmtId="0" fontId="0" fillId="5" borderId="112" xfId="0" applyFill="1" applyBorder="1" applyAlignment="1" applyProtection="1">
      <alignment horizontal="center" vertical="center"/>
      <protection hidden="1"/>
    </xf>
    <xf numFmtId="4" fontId="0" fillId="5" borderId="17" xfId="0" applyNumberFormat="1" applyFill="1" applyBorder="1" applyProtection="1">
      <alignment vertical="center"/>
      <protection hidden="1"/>
    </xf>
    <xf numFmtId="0" fontId="0" fillId="0" borderId="123" xfId="0" applyBorder="1" applyAlignment="1" applyProtection="1">
      <alignment horizontal="center"/>
      <protection hidden="1"/>
    </xf>
    <xf numFmtId="4" fontId="0" fillId="0" borderId="119" xfId="0" applyNumberFormat="1" applyBorder="1" applyAlignment="1" applyProtection="1">
      <protection hidden="1"/>
    </xf>
    <xf numFmtId="4" fontId="0" fillId="0" borderId="123" xfId="0" applyNumberFormat="1" applyBorder="1" applyAlignment="1" applyProtection="1">
      <alignment horizontal="center"/>
      <protection hidden="1"/>
    </xf>
    <xf numFmtId="0" fontId="0" fillId="14" borderId="112" xfId="0" applyNumberFormat="1" applyFont="1" applyFill="1" applyBorder="1" applyAlignment="1" applyProtection="1">
      <alignment horizontal="center" vertical="center"/>
      <protection hidden="1"/>
    </xf>
    <xf numFmtId="0" fontId="0" fillId="14" borderId="28" xfId="0" applyNumberFormat="1" applyFont="1" applyFill="1" applyBorder="1" applyAlignment="1" applyProtection="1">
      <alignment horizontal="center" vertical="center"/>
      <protection hidden="1"/>
    </xf>
    <xf numFmtId="0" fontId="0" fillId="14" borderId="34" xfId="0" applyNumberFormat="1" applyFont="1" applyFill="1" applyBorder="1" applyAlignment="1" applyProtection="1">
      <alignment horizontal="center" vertical="center"/>
      <protection hidden="1"/>
    </xf>
    <xf numFmtId="3" fontId="0" fillId="5" borderId="28" xfId="0" applyNumberFormat="1" applyFill="1" applyBorder="1" applyAlignment="1" applyProtection="1">
      <alignment horizontal="right"/>
      <protection hidden="1"/>
    </xf>
    <xf numFmtId="3" fontId="0" fillId="5" borderId="34" xfId="0" applyNumberFormat="1" applyFill="1" applyBorder="1" applyAlignment="1" applyProtection="1">
      <alignment horizontal="right"/>
      <protection hidden="1"/>
    </xf>
    <xf numFmtId="176" fontId="0" fillId="0" borderId="28" xfId="0" applyNumberFormat="1" applyFill="1" applyBorder="1" applyAlignment="1" applyProtection="1">
      <alignment horizontal="right"/>
      <protection locked="0"/>
    </xf>
    <xf numFmtId="176" fontId="0" fillId="0" borderId="34" xfId="0" applyNumberFormat="1" applyFill="1" applyBorder="1" applyAlignment="1" applyProtection="1">
      <alignment horizontal="right"/>
      <protection locked="0"/>
    </xf>
    <xf numFmtId="176" fontId="1" fillId="2" borderId="28" xfId="0" applyNumberFormat="1" applyFont="1" applyFill="1" applyBorder="1" applyAlignment="1" applyProtection="1">
      <alignment horizontal="left"/>
      <protection locked="0"/>
    </xf>
    <xf numFmtId="176" fontId="1" fillId="2" borderId="34" xfId="0" applyNumberFormat="1" applyFont="1" applyFill="1" applyBorder="1" applyAlignment="1" applyProtection="1">
      <alignment horizontal="left"/>
      <protection locked="0"/>
    </xf>
    <xf numFmtId="3" fontId="0" fillId="5" borderId="28" xfId="0" applyNumberFormat="1" applyFill="1" applyBorder="1" applyAlignment="1" applyProtection="1">
      <protection hidden="1"/>
    </xf>
    <xf numFmtId="3" fontId="0" fillId="5" borderId="34" xfId="0" applyNumberFormat="1" applyFill="1" applyBorder="1" applyAlignment="1" applyProtection="1">
      <protection hidden="1"/>
    </xf>
    <xf numFmtId="4" fontId="0" fillId="5" borderId="28" xfId="0" applyNumberFormat="1" applyFill="1" applyBorder="1" applyAlignment="1" applyProtection="1">
      <protection hidden="1"/>
    </xf>
    <xf numFmtId="4" fontId="0" fillId="5" borderId="34" xfId="0" applyNumberFormat="1" applyFill="1" applyBorder="1" applyAlignment="1" applyProtection="1">
      <protection hidden="1"/>
    </xf>
    <xf numFmtId="176" fontId="0" fillId="5" borderId="34" xfId="0" applyNumberFormat="1" applyFill="1" applyBorder="1" applyAlignment="1" applyProtection="1">
      <protection hidden="1"/>
    </xf>
    <xf numFmtId="3" fontId="1" fillId="5" borderId="28" xfId="0" applyNumberFormat="1" applyFont="1" applyFill="1" applyBorder="1" applyAlignment="1" applyProtection="1">
      <alignment horizontal="right"/>
      <protection hidden="1"/>
    </xf>
    <xf numFmtId="0" fontId="9" fillId="5" borderId="28" xfId="0" applyNumberFormat="1" applyFont="1" applyFill="1" applyBorder="1" applyAlignment="1" applyProtection="1">
      <alignment horizontal="center"/>
      <protection hidden="1"/>
    </xf>
    <xf numFmtId="3" fontId="0" fillId="5" borderId="0" xfId="0" applyNumberFormat="1" applyFill="1" applyBorder="1" applyAlignment="1" applyProtection="1">
      <protection hidden="1"/>
    </xf>
    <xf numFmtId="0" fontId="0" fillId="5" borderId="112" xfId="0" applyNumberFormat="1" applyFont="1" applyFill="1" applyBorder="1" applyAlignment="1" applyProtection="1">
      <alignment horizontal="center"/>
      <protection hidden="1"/>
    </xf>
    <xf numFmtId="0" fontId="0" fillId="5" borderId="1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5" borderId="0" xfId="0" applyFill="1" applyBorder="1" applyAlignment="1" applyProtection="1">
      <alignment horizontal="center" vertical="center"/>
      <protection hidden="1"/>
    </xf>
    <xf numFmtId="0" fontId="0" fillId="15" borderId="112" xfId="0" applyFill="1" applyBorder="1" applyAlignment="1" applyProtection="1">
      <alignment horizontal="center" vertical="center"/>
      <protection hidden="1"/>
    </xf>
    <xf numFmtId="0" fontId="0" fillId="15" borderId="21" xfId="0" applyFill="1" applyBorder="1" applyAlignment="1" applyProtection="1">
      <alignment horizontal="center" vertical="center"/>
      <protection hidden="1"/>
    </xf>
    <xf numFmtId="0" fontId="1" fillId="5" borderId="112" xfId="0" applyNumberFormat="1" applyFont="1" applyFill="1" applyBorder="1" applyAlignment="1" applyProtection="1">
      <alignment horizontal="center"/>
      <protection hidden="1"/>
    </xf>
    <xf numFmtId="0" fontId="0" fillId="0" borderId="112" xfId="0" applyBorder="1" applyAlignment="1" applyProtection="1">
      <alignment horizontal="center"/>
      <protection hidden="1"/>
    </xf>
    <xf numFmtId="0" fontId="0" fillId="0" borderId="123" xfId="0" applyBorder="1" applyAlignment="1" applyProtection="1">
      <protection hidden="1"/>
    </xf>
    <xf numFmtId="3" fontId="1" fillId="5" borderId="34" xfId="0" applyNumberFormat="1" applyFont="1" applyFill="1" applyBorder="1" applyAlignment="1" applyProtection="1">
      <alignment horizontal="right"/>
      <protection hidden="1"/>
    </xf>
    <xf numFmtId="0" fontId="9" fillId="5" borderId="34" xfId="0" applyNumberFormat="1" applyFont="1" applyFill="1" applyBorder="1" applyAlignment="1" applyProtection="1">
      <alignment horizontal="center"/>
      <protection hidden="1"/>
    </xf>
    <xf numFmtId="0" fontId="0" fillId="0" borderId="121" xfId="0" applyNumberFormat="1" applyBorder="1" applyAlignment="1" applyProtection="1">
      <protection hidden="1"/>
    </xf>
    <xf numFmtId="0" fontId="0" fillId="0" borderId="130" xfId="0" applyNumberFormat="1" applyBorder="1" applyAlignment="1" applyProtection="1">
      <protection hidden="1"/>
    </xf>
    <xf numFmtId="0" fontId="0" fillId="0" borderId="17" xfId="0" applyNumberFormat="1" applyFill="1" applyBorder="1" applyAlignment="1" applyProtection="1">
      <protection hidden="1"/>
    </xf>
    <xf numFmtId="3" fontId="0" fillId="5" borderId="0" xfId="0" applyNumberFormat="1" applyFill="1" applyBorder="1" applyAlignment="1" applyProtection="1">
      <alignment horizontal="right"/>
      <protection hidden="1"/>
    </xf>
    <xf numFmtId="3" fontId="1" fillId="5" borderId="0" xfId="0" applyNumberFormat="1" applyFont="1" applyFill="1" applyBorder="1" applyAlignment="1" applyProtection="1">
      <alignment horizontal="right"/>
      <protection hidden="1"/>
    </xf>
    <xf numFmtId="4" fontId="0" fillId="5" borderId="0" xfId="0" applyNumberFormat="1" applyFill="1" applyBorder="1" applyAlignment="1" applyProtection="1">
      <protection hidden="1"/>
    </xf>
    <xf numFmtId="176" fontId="9" fillId="5" borderId="0" xfId="0" applyNumberFormat="1" applyFont="1" applyFill="1" applyBorder="1" applyAlignment="1" applyProtection="1">
      <alignment horizontal="center"/>
      <protection hidden="1"/>
    </xf>
    <xf numFmtId="0" fontId="0" fillId="5" borderId="0" xfId="0" applyNumberFormat="1" applyFont="1" applyFill="1" applyBorder="1" applyAlignment="1" applyProtection="1">
      <alignment horizontal="center" vertical="center"/>
      <protection hidden="1"/>
    </xf>
    <xf numFmtId="0" fontId="0" fillId="14" borderId="34" xfId="0" applyNumberFormat="1" applyFill="1" applyBorder="1" applyAlignment="1" applyProtection="1">
      <alignment horizontal="center" vertical="center"/>
      <protection hidden="1"/>
    </xf>
    <xf numFmtId="176" fontId="0" fillId="5" borderId="28" xfId="0" applyNumberFormat="1" applyFill="1" applyBorder="1" applyAlignment="1" applyProtection="1">
      <protection hidden="1"/>
    </xf>
    <xf numFmtId="0" fontId="0" fillId="5" borderId="0" xfId="0" applyFill="1" applyBorder="1" applyAlignment="1" applyProtection="1">
      <alignment horizontal="center" vertical="center"/>
      <protection hidden="1"/>
    </xf>
    <xf numFmtId="0" fontId="1" fillId="5" borderId="123" xfId="0" applyNumberFormat="1" applyFont="1" applyFill="1" applyBorder="1" applyAlignment="1" applyProtection="1">
      <alignment horizontal="center"/>
      <protection hidden="1"/>
    </xf>
    <xf numFmtId="0" fontId="0" fillId="5" borderId="28" xfId="0" applyNumberFormat="1" applyFill="1" applyBorder="1" applyAlignment="1" applyProtection="1">
      <protection hidden="1"/>
    </xf>
    <xf numFmtId="0" fontId="0" fillId="5" borderId="34" xfId="0" applyNumberFormat="1" applyFill="1" applyBorder="1" applyAlignment="1" applyProtection="1">
      <protection hidden="1"/>
    </xf>
    <xf numFmtId="176" fontId="0" fillId="5" borderId="112" xfId="0" applyNumberFormat="1" applyFill="1" applyBorder="1" applyAlignment="1" applyProtection="1">
      <alignment horizontal="right"/>
      <protection hidden="1"/>
    </xf>
    <xf numFmtId="176" fontId="0" fillId="5" borderId="28" xfId="0" applyNumberFormat="1" applyFill="1" applyBorder="1" applyAlignment="1" applyProtection="1">
      <alignment horizontal="right"/>
      <protection hidden="1"/>
    </xf>
    <xf numFmtId="176" fontId="0" fillId="5" borderId="34" xfId="0" applyNumberFormat="1" applyFill="1" applyBorder="1" applyAlignment="1" applyProtection="1">
      <alignment horizontal="right"/>
      <protection hidden="1"/>
    </xf>
    <xf numFmtId="176" fontId="0" fillId="5" borderId="0" xfId="0" applyNumberFormat="1" applyFill="1" applyBorder="1" applyAlignment="1" applyProtection="1">
      <alignment horizontal="right"/>
      <protection hidden="1"/>
    </xf>
    <xf numFmtId="176" fontId="1" fillId="5" borderId="0" xfId="0" applyNumberFormat="1" applyFont="1" applyFill="1" applyBorder="1" applyAlignment="1" applyProtection="1">
      <alignment horizontal="left"/>
      <protection hidden="1"/>
    </xf>
    <xf numFmtId="4" fontId="1" fillId="0" borderId="0" xfId="0" applyNumberFormat="1" applyFont="1" applyFill="1" applyBorder="1" applyAlignment="1" applyProtection="1">
      <protection hidden="1"/>
    </xf>
    <xf numFmtId="0" fontId="0" fillId="0" borderId="123" xfId="0" applyNumberFormat="1" applyBorder="1" applyAlignment="1" applyProtection="1">
      <protection hidden="1"/>
    </xf>
    <xf numFmtId="0" fontId="0" fillId="0" borderId="126" xfId="0" applyNumberFormat="1" applyBorder="1" applyAlignment="1" applyProtection="1">
      <protection hidden="1"/>
    </xf>
    <xf numFmtId="0" fontId="0" fillId="0" borderId="124" xfId="0" applyNumberFormat="1" applyBorder="1" applyAlignment="1" applyProtection="1">
      <protection hidden="1"/>
    </xf>
    <xf numFmtId="0" fontId="2" fillId="0" borderId="0" xfId="0" applyNumberFormat="1" applyFont="1" applyAlignment="1" applyProtection="1">
      <protection hidden="1"/>
    </xf>
    <xf numFmtId="0" fontId="2" fillId="5" borderId="123" xfId="0" applyNumberFormat="1" applyFont="1" applyFill="1" applyBorder="1" applyAlignment="1" applyProtection="1">
      <alignment horizontal="center" vertical="center"/>
      <protection hidden="1"/>
    </xf>
    <xf numFmtId="0" fontId="2" fillId="5" borderId="0" xfId="0" applyNumberFormat="1" applyFont="1" applyFill="1" applyBorder="1" applyAlignment="1" applyProtection="1">
      <protection hidden="1"/>
    </xf>
    <xf numFmtId="0" fontId="9" fillId="5" borderId="121" xfId="0" applyNumberFormat="1" applyFont="1" applyFill="1" applyBorder="1" applyAlignment="1" applyProtection="1">
      <alignment horizontal="center"/>
      <protection hidden="1"/>
    </xf>
    <xf numFmtId="176" fontId="9" fillId="5" borderId="121" xfId="0" applyNumberFormat="1" applyFont="1" applyFill="1" applyBorder="1" applyAlignment="1" applyProtection="1">
      <alignment horizontal="center"/>
      <protection hidden="1"/>
    </xf>
    <xf numFmtId="0" fontId="28" fillId="13" borderId="73" xfId="0" applyNumberFormat="1" applyFont="1" applyFill="1" applyBorder="1" applyAlignment="1" applyProtection="1">
      <alignment horizontal="left" vertical="center"/>
      <protection hidden="1"/>
    </xf>
    <xf numFmtId="0" fontId="0" fillId="13" borderId="41" xfId="0" applyNumberFormat="1" applyFill="1" applyBorder="1" applyAlignment="1" applyProtection="1">
      <protection hidden="1"/>
    </xf>
    <xf numFmtId="0" fontId="2" fillId="5" borderId="131" xfId="0" applyNumberFormat="1" applyFont="1" applyFill="1" applyBorder="1" applyAlignment="1" applyProtection="1">
      <alignment horizontal="center" vertical="center"/>
      <protection hidden="1"/>
    </xf>
    <xf numFmtId="0" fontId="0" fillId="5" borderId="74" xfId="0" applyNumberFormat="1" applyFill="1" applyBorder="1" applyAlignment="1" applyProtection="1">
      <protection hidden="1"/>
    </xf>
    <xf numFmtId="0" fontId="0" fillId="5" borderId="33" xfId="0" applyNumberFormat="1" applyFill="1" applyBorder="1" applyAlignment="1" applyProtection="1">
      <protection hidden="1"/>
    </xf>
    <xf numFmtId="0" fontId="9" fillId="5" borderId="21" xfId="0" applyNumberFormat="1" applyFont="1" applyFill="1" applyBorder="1" applyAlignment="1" applyProtection="1">
      <alignment horizontal="center"/>
      <protection hidden="1"/>
    </xf>
    <xf numFmtId="176" fontId="9" fillId="5" borderId="21" xfId="0" applyNumberFormat="1" applyFont="1" applyFill="1" applyBorder="1" applyAlignment="1" applyProtection="1">
      <alignment horizontal="center"/>
      <protection hidden="1"/>
    </xf>
    <xf numFmtId="176" fontId="9" fillId="5" borderId="30" xfId="0" applyNumberFormat="1" applyFont="1" applyFill="1" applyBorder="1" applyAlignment="1" applyProtection="1">
      <alignment horizontal="center"/>
      <protection hidden="1"/>
    </xf>
    <xf numFmtId="176" fontId="9" fillId="5" borderId="36" xfId="0" applyNumberFormat="1" applyFont="1" applyFill="1" applyBorder="1" applyAlignment="1" applyProtection="1">
      <alignment horizontal="center"/>
      <protection hidden="1"/>
    </xf>
    <xf numFmtId="0" fontId="0" fillId="13" borderId="45" xfId="0" applyNumberFormat="1" applyFill="1" applyBorder="1" applyAlignment="1" applyProtection="1">
      <alignment horizontal="center"/>
      <protection hidden="1"/>
    </xf>
    <xf numFmtId="0" fontId="0" fillId="5" borderId="126" xfId="0" applyNumberFormat="1" applyFill="1" applyBorder="1" applyAlignment="1" applyProtection="1">
      <alignment vertical="center"/>
      <protection hidden="1"/>
    </xf>
    <xf numFmtId="0" fontId="0" fillId="5" borderId="126" xfId="0" applyNumberFormat="1" applyFill="1" applyBorder="1" applyAlignment="1" applyProtection="1">
      <alignment horizontal="center"/>
      <protection hidden="1"/>
    </xf>
    <xf numFmtId="0" fontId="9" fillId="5" borderId="123" xfId="0" applyNumberFormat="1" applyFont="1" applyFill="1" applyBorder="1" applyAlignment="1" applyProtection="1">
      <alignment horizontal="center"/>
      <protection hidden="1"/>
    </xf>
    <xf numFmtId="0" fontId="0" fillId="5" borderId="123" xfId="0" applyNumberFormat="1" applyFont="1" applyFill="1" applyBorder="1" applyAlignment="1" applyProtection="1">
      <alignment horizontal="center"/>
      <protection hidden="1"/>
    </xf>
    <xf numFmtId="0" fontId="0" fillId="5" borderId="62" xfId="0" applyNumberFormat="1" applyFill="1" applyBorder="1" applyAlignment="1" applyProtection="1">
      <alignment horizontal="center"/>
      <protection hidden="1"/>
    </xf>
    <xf numFmtId="176" fontId="0" fillId="0" borderId="34" xfId="0" applyNumberFormat="1" applyFill="1" applyBorder="1" applyAlignment="1" applyProtection="1">
      <protection locked="0"/>
    </xf>
    <xf numFmtId="0" fontId="0" fillId="13" borderId="61" xfId="0" applyNumberFormat="1" applyFill="1" applyBorder="1" applyAlignment="1" applyProtection="1">
      <protection hidden="1"/>
    </xf>
    <xf numFmtId="0" fontId="0" fillId="5" borderId="68" xfId="0" quotePrefix="1" applyFill="1" applyBorder="1" applyAlignment="1" applyProtection="1">
      <alignment vertical="center"/>
      <protection hidden="1"/>
    </xf>
    <xf numFmtId="4" fontId="0" fillId="0" borderId="44" xfId="0" applyNumberFormat="1" applyBorder="1" applyAlignment="1" applyProtection="1">
      <alignment vertical="center"/>
      <protection locked="0"/>
    </xf>
    <xf numFmtId="4" fontId="0" fillId="16" borderId="86" xfId="0" applyNumberFormat="1" applyFill="1" applyBorder="1" applyAlignment="1" applyProtection="1">
      <alignment vertical="center"/>
      <protection locked="0"/>
    </xf>
    <xf numFmtId="4" fontId="0" fillId="16" borderId="44" xfId="0" applyNumberFormat="1" applyFill="1" applyBorder="1" applyAlignment="1" applyProtection="1">
      <alignment vertical="center"/>
      <protection locked="0"/>
    </xf>
    <xf numFmtId="0" fontId="0" fillId="16" borderId="78" xfId="0" applyFill="1" applyBorder="1" applyProtection="1">
      <alignment vertical="center"/>
      <protection locked="0"/>
    </xf>
    <xf numFmtId="0" fontId="0" fillId="16" borderId="20" xfId="0" applyFill="1" applyBorder="1" applyProtection="1">
      <alignment vertical="center"/>
      <protection locked="0"/>
    </xf>
    <xf numFmtId="0" fontId="0" fillId="16" borderId="4" xfId="0" applyFill="1" applyBorder="1" applyProtection="1">
      <alignment vertical="center"/>
      <protection locked="0"/>
    </xf>
    <xf numFmtId="176" fontId="0" fillId="16" borderId="78" xfId="0" applyNumberFormat="1" applyFill="1" applyBorder="1" applyProtection="1">
      <alignment vertical="center"/>
      <protection locked="0"/>
    </xf>
    <xf numFmtId="176" fontId="0" fillId="16" borderId="86" xfId="0" applyNumberFormat="1" applyFill="1" applyBorder="1" applyProtection="1">
      <alignment vertical="center"/>
      <protection locked="0"/>
    </xf>
    <xf numFmtId="176" fontId="0" fillId="16" borderId="20" xfId="0" applyNumberFormat="1" applyFill="1" applyBorder="1" applyProtection="1">
      <alignment vertical="center"/>
      <protection locked="0"/>
    </xf>
    <xf numFmtId="176" fontId="0" fillId="16" borderId="44" xfId="0" applyNumberFormat="1" applyFill="1" applyBorder="1" applyProtection="1">
      <alignment vertical="center"/>
      <protection locked="0"/>
    </xf>
    <xf numFmtId="176" fontId="0" fillId="16" borderId="58" xfId="0" applyNumberFormat="1" applyFill="1" applyBorder="1" applyProtection="1">
      <alignment vertical="center"/>
      <protection locked="0"/>
    </xf>
    <xf numFmtId="176" fontId="0" fillId="16" borderId="138" xfId="0" applyNumberFormat="1" applyFill="1" applyBorder="1" applyProtection="1">
      <alignment vertical="center"/>
      <protection locked="0"/>
    </xf>
    <xf numFmtId="0" fontId="0" fillId="16" borderId="58" xfId="0" applyFill="1" applyBorder="1" applyProtection="1">
      <alignment vertical="center"/>
      <protection locked="0"/>
    </xf>
    <xf numFmtId="0" fontId="0" fillId="16" borderId="84" xfId="0" applyFill="1" applyBorder="1" applyAlignment="1" applyProtection="1">
      <alignment vertical="center"/>
      <protection locked="0"/>
    </xf>
    <xf numFmtId="0" fontId="0" fillId="16" borderId="86" xfId="0" applyFill="1" applyBorder="1" applyAlignment="1" applyProtection="1">
      <alignment vertical="center"/>
      <protection locked="0"/>
    </xf>
    <xf numFmtId="0" fontId="0" fillId="16" borderId="44" xfId="0" applyFill="1" applyBorder="1" applyAlignment="1" applyProtection="1">
      <alignment vertical="center"/>
      <protection locked="0"/>
    </xf>
    <xf numFmtId="0" fontId="0" fillId="16" borderId="95" xfId="0" applyFill="1" applyBorder="1" applyAlignment="1" applyProtection="1">
      <alignment vertical="center"/>
      <protection locked="0"/>
    </xf>
    <xf numFmtId="0" fontId="0" fillId="16" borderId="22" xfId="0" applyFill="1" applyBorder="1" applyAlignment="1" applyProtection="1">
      <alignment vertical="center"/>
      <protection locked="0"/>
    </xf>
    <xf numFmtId="0" fontId="0" fillId="16" borderId="1" xfId="0" applyFill="1" applyBorder="1" applyAlignment="1" applyProtection="1">
      <alignment vertical="center"/>
      <protection locked="0"/>
    </xf>
    <xf numFmtId="0" fontId="0" fillId="16" borderId="21" xfId="0" applyFill="1" applyBorder="1" applyAlignment="1" applyProtection="1">
      <alignment vertical="center"/>
      <protection locked="0"/>
    </xf>
    <xf numFmtId="0" fontId="0" fillId="16" borderId="58" xfId="0" applyFill="1" applyBorder="1" applyAlignment="1" applyProtection="1">
      <alignment vertical="center"/>
      <protection locked="0"/>
    </xf>
    <xf numFmtId="0" fontId="0" fillId="16" borderId="22" xfId="0" applyFill="1" applyBorder="1" applyProtection="1">
      <alignment vertical="center"/>
      <protection locked="0"/>
    </xf>
    <xf numFmtId="0" fontId="0" fillId="16" borderId="1" xfId="0" applyFill="1" applyBorder="1" applyProtection="1">
      <alignment vertical="center"/>
      <protection locked="0"/>
    </xf>
    <xf numFmtId="0" fontId="0" fillId="16" borderId="21" xfId="0" applyFill="1" applyBorder="1" applyProtection="1">
      <alignment vertical="center"/>
      <protection locked="0"/>
    </xf>
    <xf numFmtId="0" fontId="0" fillId="16" borderId="20" xfId="0" applyFill="1" applyBorder="1" applyAlignment="1" applyProtection="1">
      <alignment vertical="center"/>
      <protection locked="0"/>
    </xf>
    <xf numFmtId="0" fontId="1" fillId="16" borderId="58" xfId="0" applyFont="1" applyFill="1" applyBorder="1" applyProtection="1">
      <alignment vertical="center"/>
      <protection locked="0"/>
    </xf>
    <xf numFmtId="0" fontId="1" fillId="16" borderId="86" xfId="0" applyFont="1" applyFill="1" applyBorder="1" applyProtection="1">
      <alignment vertical="center"/>
      <protection locked="0"/>
    </xf>
    <xf numFmtId="0" fontId="1" fillId="16" borderId="20" xfId="0" applyFont="1" applyFill="1" applyBorder="1" applyProtection="1">
      <alignment vertical="center"/>
      <protection locked="0"/>
    </xf>
    <xf numFmtId="0" fontId="1" fillId="16" borderId="44" xfId="0" applyFont="1" applyFill="1" applyBorder="1" applyProtection="1">
      <alignment vertical="center"/>
      <protection locked="0"/>
    </xf>
    <xf numFmtId="0" fontId="1" fillId="16" borderId="22" xfId="0" applyFont="1" applyFill="1" applyBorder="1" applyProtection="1">
      <alignment vertical="center"/>
      <protection locked="0"/>
    </xf>
    <xf numFmtId="0" fontId="1" fillId="16" borderId="1" xfId="0" applyFont="1" applyFill="1" applyBorder="1" applyProtection="1">
      <alignment vertical="center"/>
      <protection locked="0"/>
    </xf>
    <xf numFmtId="0" fontId="1" fillId="16" borderId="21" xfId="0" applyFont="1" applyFill="1" applyBorder="1" applyProtection="1">
      <alignment vertical="center"/>
      <protection locked="0"/>
    </xf>
    <xf numFmtId="4" fontId="0" fillId="16" borderId="78" xfId="0" applyNumberFormat="1" applyFill="1" applyBorder="1" applyAlignment="1" applyProtection="1">
      <alignment vertical="center"/>
      <protection locked="0"/>
    </xf>
    <xf numFmtId="4" fontId="0" fillId="16" borderId="58" xfId="0" applyNumberFormat="1" applyFill="1" applyBorder="1" applyAlignment="1" applyProtection="1">
      <alignment vertical="center"/>
      <protection locked="0"/>
    </xf>
    <xf numFmtId="4" fontId="0" fillId="16" borderId="20" xfId="0" applyNumberFormat="1" applyFill="1" applyBorder="1" applyAlignment="1" applyProtection="1">
      <alignment vertical="center"/>
      <protection locked="0"/>
    </xf>
    <xf numFmtId="176" fontId="0" fillId="5" borderId="128" xfId="0" applyNumberFormat="1" applyFill="1" applyBorder="1" applyProtection="1">
      <alignment vertical="center"/>
      <protection locked="0"/>
    </xf>
    <xf numFmtId="176" fontId="0" fillId="5" borderId="128" xfId="0" applyNumberFormat="1" applyFill="1" applyBorder="1" applyProtection="1">
      <alignment vertical="center"/>
      <protection hidden="1"/>
    </xf>
    <xf numFmtId="4" fontId="0" fillId="16" borderId="21" xfId="0" applyNumberFormat="1" applyFill="1" applyBorder="1" applyAlignment="1" applyProtection="1">
      <alignment vertical="center"/>
      <protection locked="0"/>
    </xf>
    <xf numFmtId="0" fontId="0" fillId="16" borderId="121" xfId="0" applyFill="1" applyBorder="1" applyProtection="1">
      <alignment vertical="center"/>
      <protection locked="0"/>
    </xf>
    <xf numFmtId="0" fontId="0" fillId="6" borderId="4" xfId="0" applyFill="1" applyBorder="1" applyProtection="1">
      <alignment vertical="center"/>
      <protection hidden="1"/>
    </xf>
    <xf numFmtId="0" fontId="0" fillId="6" borderId="78" xfId="0" applyFill="1" applyBorder="1" applyProtection="1">
      <alignment vertical="center"/>
      <protection locked="0"/>
    </xf>
    <xf numFmtId="0" fontId="0" fillId="6" borderId="78" xfId="0" applyFill="1" applyBorder="1" applyProtection="1">
      <alignment vertical="center"/>
      <protection hidden="1"/>
    </xf>
    <xf numFmtId="0" fontId="0" fillId="6" borderId="21" xfId="0" applyFill="1" applyBorder="1" applyProtection="1">
      <alignment vertical="center"/>
      <protection locked="0"/>
    </xf>
    <xf numFmtId="4" fontId="0" fillId="6" borderId="21" xfId="0" applyNumberFormat="1" applyFill="1" applyBorder="1" applyAlignment="1" applyProtection="1">
      <alignment vertical="center"/>
      <protection locked="0"/>
    </xf>
    <xf numFmtId="0" fontId="0" fillId="5" borderId="17" xfId="0" applyFill="1" applyBorder="1" applyAlignment="1" applyProtection="1">
      <alignment horizontal="center" vertical="center"/>
      <protection hidden="1"/>
    </xf>
    <xf numFmtId="0" fontId="0" fillId="5" borderId="2" xfId="0" applyFill="1" applyBorder="1" applyAlignment="1" applyProtection="1">
      <alignment horizontal="center" vertical="center" wrapText="1"/>
      <protection hidden="1"/>
    </xf>
    <xf numFmtId="0" fontId="0" fillId="5" borderId="29" xfId="0" applyFill="1" applyBorder="1" applyAlignment="1" applyProtection="1">
      <alignment horizontal="center" vertical="center" wrapText="1"/>
      <protection hidden="1"/>
    </xf>
    <xf numFmtId="0" fontId="0" fillId="2" borderId="1" xfId="0" applyFill="1" applyBorder="1" applyAlignment="1" applyProtection="1">
      <alignment vertical="center"/>
      <protection hidden="1"/>
    </xf>
    <xf numFmtId="0" fontId="0" fillId="4" borderId="50" xfId="0" applyFill="1" applyBorder="1" applyAlignment="1" applyProtection="1">
      <alignment horizontal="center" vertical="center" wrapText="1"/>
      <protection hidden="1"/>
    </xf>
    <xf numFmtId="0" fontId="0" fillId="4" borderId="22" xfId="0" applyFill="1" applyBorder="1" applyAlignment="1" applyProtection="1">
      <alignment vertical="center"/>
      <protection hidden="1"/>
    </xf>
    <xf numFmtId="0" fontId="0" fillId="4" borderId="1" xfId="0" applyFill="1" applyBorder="1" applyAlignment="1" applyProtection="1">
      <alignment vertical="center"/>
      <protection hidden="1"/>
    </xf>
    <xf numFmtId="176" fontId="0" fillId="0" borderId="1" xfId="0" applyNumberFormat="1" applyBorder="1" applyAlignment="1" applyProtection="1">
      <alignment vertical="center"/>
      <protection hidden="1"/>
    </xf>
    <xf numFmtId="0" fontId="1" fillId="5" borderId="1" xfId="0" applyNumberFormat="1" applyFont="1" applyFill="1" applyBorder="1" applyAlignment="1" applyProtection="1">
      <alignment vertical="center"/>
      <protection hidden="1"/>
    </xf>
    <xf numFmtId="0" fontId="0" fillId="5" borderId="1" xfId="0" applyFill="1" applyBorder="1" applyAlignment="1" applyProtection="1">
      <alignment vertical="center"/>
      <protection hidden="1"/>
    </xf>
    <xf numFmtId="0" fontId="0" fillId="4" borderId="21" xfId="0" applyFill="1" applyBorder="1" applyAlignment="1" applyProtection="1">
      <alignment vertical="center"/>
      <protection hidden="1"/>
    </xf>
    <xf numFmtId="176" fontId="0" fillId="0" borderId="22" xfId="0" applyNumberFormat="1" applyBorder="1" applyAlignment="1" applyProtection="1">
      <alignment vertical="center"/>
      <protection hidden="1"/>
    </xf>
    <xf numFmtId="0" fontId="1" fillId="5" borderId="22" xfId="0" applyNumberFormat="1" applyFont="1" applyFill="1" applyBorder="1" applyAlignment="1" applyProtection="1">
      <alignment vertical="center"/>
      <protection hidden="1"/>
    </xf>
    <xf numFmtId="0" fontId="0" fillId="8" borderId="24" xfId="0" applyFill="1" applyBorder="1" applyAlignment="1" applyProtection="1">
      <alignment vertical="center"/>
      <protection hidden="1"/>
    </xf>
    <xf numFmtId="0" fontId="0" fillId="8" borderId="25" xfId="0" applyFill="1" applyBorder="1" applyAlignment="1" applyProtection="1">
      <alignment vertical="center"/>
      <protection hidden="1"/>
    </xf>
    <xf numFmtId="0" fontId="0" fillId="5" borderId="40" xfId="0" applyFill="1" applyBorder="1" applyAlignment="1" applyProtection="1">
      <alignment horizontal="center" vertical="center"/>
      <protection hidden="1"/>
    </xf>
    <xf numFmtId="0" fontId="0" fillId="5" borderId="41" xfId="0" applyFill="1" applyBorder="1" applyAlignment="1" applyProtection="1">
      <alignment vertical="center"/>
      <protection hidden="1"/>
    </xf>
    <xf numFmtId="0" fontId="0" fillId="5" borderId="60" xfId="0" applyFill="1" applyBorder="1" applyAlignment="1" applyProtection="1">
      <alignment vertical="center"/>
      <protection hidden="1"/>
    </xf>
    <xf numFmtId="0" fontId="0" fillId="5" borderId="42" xfId="0" applyFill="1" applyBorder="1" applyAlignment="1" applyProtection="1">
      <alignment vertical="center"/>
      <protection hidden="1"/>
    </xf>
    <xf numFmtId="0" fontId="0" fillId="5" borderId="5" xfId="0" applyFill="1" applyBorder="1" applyAlignment="1" applyProtection="1">
      <alignment vertical="center"/>
      <protection hidden="1"/>
    </xf>
    <xf numFmtId="0" fontId="0" fillId="5" borderId="48" xfId="0" applyFill="1" applyBorder="1" applyAlignment="1" applyProtection="1">
      <alignment vertical="center"/>
      <protection hidden="1"/>
    </xf>
    <xf numFmtId="0" fontId="0" fillId="5" borderId="24" xfId="0" applyFill="1" applyBorder="1" applyAlignment="1" applyProtection="1">
      <alignment horizontal="center" vertical="center"/>
      <protection hidden="1"/>
    </xf>
    <xf numFmtId="0" fontId="0" fillId="5" borderId="27" xfId="0" applyFill="1" applyBorder="1" applyAlignment="1" applyProtection="1">
      <alignment vertical="center"/>
      <protection hidden="1"/>
    </xf>
    <xf numFmtId="0" fontId="0" fillId="5" borderId="2" xfId="0" applyFill="1" applyBorder="1" applyAlignment="1" applyProtection="1">
      <alignment horizontal="center" vertical="center"/>
      <protection hidden="1"/>
    </xf>
    <xf numFmtId="0" fontId="0" fillId="5" borderId="29" xfId="0" applyFill="1" applyBorder="1" applyAlignment="1" applyProtection="1">
      <alignment horizontal="center" vertical="center"/>
      <protection hidden="1"/>
    </xf>
    <xf numFmtId="4" fontId="0" fillId="0" borderId="17" xfId="0" applyNumberFormat="1" applyBorder="1" applyAlignment="1" applyProtection="1">
      <alignment vertical="center"/>
      <protection hidden="1"/>
    </xf>
    <xf numFmtId="4" fontId="0" fillId="0" borderId="1" xfId="0" applyNumberFormat="1" applyBorder="1" applyAlignment="1" applyProtection="1">
      <alignment vertical="center"/>
      <protection hidden="1"/>
    </xf>
    <xf numFmtId="0" fontId="0" fillId="2" borderId="22" xfId="0"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2" borderId="24"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5" borderId="42" xfId="0" applyFill="1" applyBorder="1" applyAlignment="1" applyProtection="1">
      <alignment horizontal="center" vertical="center"/>
      <protection hidden="1"/>
    </xf>
    <xf numFmtId="0" fontId="0" fillId="4" borderId="67" xfId="0" applyFill="1" applyBorder="1" applyAlignment="1" applyProtection="1">
      <alignment horizontal="center" vertical="center" wrapText="1"/>
      <protection hidden="1"/>
    </xf>
    <xf numFmtId="0" fontId="0" fillId="4" borderId="45" xfId="0" applyFill="1" applyBorder="1" applyAlignment="1" applyProtection="1">
      <alignment vertical="center"/>
      <protection hidden="1"/>
    </xf>
    <xf numFmtId="0" fontId="0" fillId="5" borderId="69" xfId="0" applyFill="1" applyBorder="1" applyAlignment="1" applyProtection="1">
      <alignment horizontal="center" vertical="center"/>
      <protection hidden="1"/>
    </xf>
    <xf numFmtId="0" fontId="0" fillId="5" borderId="22" xfId="0" applyFill="1" applyBorder="1" applyAlignment="1" applyProtection="1">
      <alignment horizontal="center" vertical="center"/>
      <protection hidden="1"/>
    </xf>
    <xf numFmtId="0" fontId="0" fillId="8" borderId="84" xfId="0" applyFill="1" applyBorder="1" applyAlignment="1" applyProtection="1">
      <alignment horizontal="center" vertical="center"/>
      <protection hidden="1"/>
    </xf>
    <xf numFmtId="0" fontId="0" fillId="8" borderId="85" xfId="0" applyFill="1" applyBorder="1" applyAlignment="1" applyProtection="1">
      <alignment horizontal="center" vertical="center"/>
      <protection hidden="1"/>
    </xf>
    <xf numFmtId="0" fontId="0" fillId="2" borderId="21" xfId="0" applyFill="1" applyBorder="1" applyAlignment="1" applyProtection="1">
      <alignment vertical="center"/>
      <protection hidden="1"/>
    </xf>
    <xf numFmtId="0" fontId="0" fillId="5" borderId="71" xfId="0" applyFill="1" applyBorder="1" applyAlignment="1" applyProtection="1">
      <alignment horizontal="center" vertical="center" wrapText="1"/>
      <protection hidden="1"/>
    </xf>
    <xf numFmtId="0" fontId="0" fillId="5" borderId="61" xfId="0" applyFill="1" applyBorder="1" applyAlignment="1" applyProtection="1">
      <alignment horizontal="center" vertical="center"/>
      <protection hidden="1"/>
    </xf>
    <xf numFmtId="0" fontId="0" fillId="5" borderId="45" xfId="0" applyFill="1" applyBorder="1" applyAlignment="1" applyProtection="1">
      <alignment horizontal="center" vertical="center"/>
      <protection hidden="1"/>
    </xf>
    <xf numFmtId="0" fontId="0" fillId="5" borderId="39" xfId="0" applyFill="1" applyBorder="1" applyAlignment="1" applyProtection="1">
      <alignment horizontal="center" vertical="center"/>
      <protection hidden="1"/>
    </xf>
    <xf numFmtId="0" fontId="0" fillId="5" borderId="71" xfId="0" applyFill="1" applyBorder="1" applyAlignment="1" applyProtection="1">
      <alignment horizontal="center" vertical="center"/>
      <protection hidden="1"/>
    </xf>
    <xf numFmtId="0" fontId="0" fillId="8" borderId="95" xfId="0" applyFill="1" applyBorder="1" applyAlignment="1" applyProtection="1">
      <alignment horizontal="center" vertical="center"/>
      <protection hidden="1"/>
    </xf>
    <xf numFmtId="0" fontId="0" fillId="8" borderId="52" xfId="0" applyFill="1" applyBorder="1" applyAlignment="1" applyProtection="1">
      <alignment horizontal="center" vertical="center"/>
      <protection hidden="1"/>
    </xf>
    <xf numFmtId="0" fontId="0" fillId="7" borderId="109" xfId="0" applyFill="1" applyBorder="1" applyAlignment="1" applyProtection="1">
      <alignment horizontal="center" vertical="center"/>
      <protection hidden="1"/>
    </xf>
    <xf numFmtId="0" fontId="0" fillId="0" borderId="51" xfId="0" applyBorder="1" applyAlignment="1" applyProtection="1">
      <alignment vertical="center"/>
      <protection hidden="1"/>
    </xf>
    <xf numFmtId="0" fontId="0" fillId="7" borderId="84" xfId="0" applyFill="1" applyBorder="1" applyAlignment="1" applyProtection="1">
      <alignment horizontal="center" vertical="center"/>
      <protection hidden="1"/>
    </xf>
    <xf numFmtId="0" fontId="0" fillId="0" borderId="85" xfId="0" applyBorder="1" applyAlignment="1" applyProtection="1">
      <alignment vertical="center"/>
      <protection hidden="1"/>
    </xf>
    <xf numFmtId="0" fontId="0" fillId="5" borderId="38" xfId="0" applyFill="1" applyBorder="1" applyAlignment="1" applyProtection="1">
      <alignment vertical="center" wrapText="1"/>
      <protection hidden="1"/>
    </xf>
    <xf numFmtId="0" fontId="0" fillId="5" borderId="17" xfId="0" applyFill="1" applyBorder="1" applyAlignment="1" applyProtection="1">
      <alignment vertical="center" wrapText="1"/>
      <protection hidden="1"/>
    </xf>
    <xf numFmtId="0" fontId="0" fillId="5" borderId="13" xfId="0" applyFill="1" applyBorder="1" applyAlignment="1" applyProtection="1">
      <alignment horizontal="center" vertical="center"/>
      <protection hidden="1"/>
    </xf>
    <xf numFmtId="0" fontId="0" fillId="5" borderId="14" xfId="0" applyFill="1" applyBorder="1" applyAlignment="1" applyProtection="1">
      <alignment vertical="center"/>
      <protection hidden="1"/>
    </xf>
    <xf numFmtId="0" fontId="0" fillId="5" borderId="15" xfId="0" applyFill="1" applyBorder="1" applyAlignment="1" applyProtection="1">
      <alignment vertical="center"/>
      <protection hidden="1"/>
    </xf>
    <xf numFmtId="176" fontId="0" fillId="5" borderId="6" xfId="0" applyNumberFormat="1" applyFill="1" applyBorder="1" applyAlignment="1" applyProtection="1">
      <alignment horizontal="center" vertical="center"/>
      <protection hidden="1"/>
    </xf>
    <xf numFmtId="0" fontId="0" fillId="5" borderId="9" xfId="0" applyFill="1" applyBorder="1" applyAlignment="1" applyProtection="1">
      <alignment horizontal="center" vertical="center"/>
      <protection hidden="1"/>
    </xf>
    <xf numFmtId="0" fontId="0" fillId="0" borderId="10" xfId="0"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5" borderId="9" xfId="0" applyFill="1" applyBorder="1" applyAlignment="1" applyProtection="1">
      <alignment vertical="center"/>
      <protection hidden="1"/>
    </xf>
    <xf numFmtId="0" fontId="0" fillId="5" borderId="16" xfId="0" applyFill="1" applyBorder="1" applyAlignment="1" applyProtection="1">
      <alignment horizontal="center" vertical="center" wrapText="1"/>
      <protection hidden="1"/>
    </xf>
    <xf numFmtId="0" fontId="0" fillId="0" borderId="8" xfId="0" applyBorder="1" applyAlignment="1" applyProtection="1">
      <alignment vertical="center" wrapText="1"/>
      <protection hidden="1"/>
    </xf>
    <xf numFmtId="0" fontId="0" fillId="0" borderId="13"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6" borderId="26" xfId="0" applyFill="1" applyBorder="1" applyAlignment="1" applyProtection="1">
      <alignment vertical="center"/>
      <protection hidden="1"/>
    </xf>
    <xf numFmtId="0" fontId="0" fillId="6" borderId="27" xfId="0" applyFill="1" applyBorder="1" applyAlignment="1" applyProtection="1">
      <alignment vertical="center"/>
      <protection hidden="1"/>
    </xf>
    <xf numFmtId="176" fontId="0" fillId="0" borderId="21" xfId="0" applyNumberFormat="1" applyBorder="1" applyAlignment="1" applyProtection="1">
      <alignment vertical="center"/>
      <protection hidden="1"/>
    </xf>
    <xf numFmtId="0" fontId="0" fillId="5" borderId="21" xfId="0"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7" xfId="0" applyFill="1" applyBorder="1" applyAlignment="1" applyProtection="1">
      <alignment vertical="center"/>
      <protection hidden="1"/>
    </xf>
    <xf numFmtId="0" fontId="0" fillId="5" borderId="63" xfId="0" applyFill="1" applyBorder="1" applyAlignment="1" applyProtection="1">
      <alignment horizontal="center" vertical="center"/>
      <protection hidden="1"/>
    </xf>
    <xf numFmtId="0" fontId="0" fillId="5" borderId="41" xfId="0" applyFill="1" applyBorder="1" applyAlignment="1" applyProtection="1">
      <alignment horizontal="center" vertical="center"/>
      <protection hidden="1"/>
    </xf>
    <xf numFmtId="0" fontId="0" fillId="5" borderId="70" xfId="0" applyFill="1" applyBorder="1" applyAlignment="1" applyProtection="1">
      <alignment horizontal="center" vertical="center"/>
      <protection hidden="1"/>
    </xf>
    <xf numFmtId="0" fontId="0" fillId="5" borderId="61" xfId="0" applyFill="1" applyBorder="1" applyAlignment="1" applyProtection="1">
      <alignment horizontal="center" vertical="center" wrapText="1"/>
      <protection hidden="1"/>
    </xf>
    <xf numFmtId="0" fontId="0" fillId="5" borderId="45" xfId="0" applyFill="1" applyBorder="1" applyAlignment="1" applyProtection="1">
      <alignment vertical="center" wrapText="1"/>
      <protection hidden="1"/>
    </xf>
    <xf numFmtId="0" fontId="0" fillId="5" borderId="45" xfId="0" applyFill="1" applyBorder="1" applyAlignment="1" applyProtection="1">
      <alignment vertical="center"/>
      <protection hidden="1"/>
    </xf>
    <xf numFmtId="0" fontId="0" fillId="5" borderId="46" xfId="0" applyFill="1" applyBorder="1" applyAlignment="1" applyProtection="1">
      <alignment vertical="center"/>
      <protection hidden="1"/>
    </xf>
    <xf numFmtId="0" fontId="0" fillId="5" borderId="40" xfId="0" applyFill="1" applyBorder="1" applyAlignment="1" applyProtection="1">
      <alignment vertical="center"/>
      <protection hidden="1"/>
    </xf>
    <xf numFmtId="0" fontId="0" fillId="5" borderId="59" xfId="0" applyFill="1"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6" xfId="0" applyFill="1" applyBorder="1" applyAlignment="1" applyProtection="1">
      <alignment horizontal="center" vertical="center" wrapText="1"/>
      <protection hidden="1"/>
    </xf>
    <xf numFmtId="0" fontId="0" fillId="5" borderId="10" xfId="0" applyFill="1" applyBorder="1" applyAlignment="1" applyProtection="1">
      <alignment horizontal="center" vertical="center" wrapText="1"/>
      <protection hidden="1"/>
    </xf>
    <xf numFmtId="0" fontId="0" fillId="5" borderId="38" xfId="0" applyFill="1" applyBorder="1" applyAlignment="1" applyProtection="1">
      <alignment horizontal="center" vertical="center" wrapText="1"/>
      <protection hidden="1"/>
    </xf>
    <xf numFmtId="0" fontId="0" fillId="5" borderId="29" xfId="0" applyFill="1" applyBorder="1" applyAlignment="1" applyProtection="1">
      <alignment vertical="center" wrapText="1"/>
      <protection hidden="1"/>
    </xf>
    <xf numFmtId="0" fontId="1" fillId="5" borderId="38" xfId="0" applyNumberFormat="1" applyFont="1" applyFill="1" applyBorder="1" applyAlignment="1" applyProtection="1">
      <alignment horizontal="center" wrapText="1"/>
      <protection hidden="1"/>
    </xf>
    <xf numFmtId="0" fontId="0" fillId="5" borderId="72" xfId="0" applyFill="1" applyBorder="1" applyAlignment="1" applyProtection="1">
      <alignment horizontal="center" vertical="center" wrapText="1"/>
      <protection hidden="1"/>
    </xf>
    <xf numFmtId="0" fontId="0" fillId="5" borderId="37" xfId="0" applyFill="1" applyBorder="1" applyAlignment="1" applyProtection="1">
      <alignment vertical="center" wrapText="1"/>
      <protection hidden="1"/>
    </xf>
    <xf numFmtId="0" fontId="18" fillId="0" borderId="0" xfId="0" applyFont="1" applyAlignment="1">
      <alignment horizontal="center" vertical="center"/>
    </xf>
    <xf numFmtId="0" fontId="2" fillId="0" borderId="0" xfId="0" applyFont="1" applyAlignment="1">
      <alignment horizontal="center" vertical="center"/>
    </xf>
    <xf numFmtId="0" fontId="27" fillId="0" borderId="0" xfId="0" applyFont="1" applyAlignment="1">
      <alignment horizontal="right" vertical="center"/>
    </xf>
    <xf numFmtId="176" fontId="0" fillId="6" borderId="71" xfId="0" applyNumberFormat="1" applyFill="1" applyBorder="1" applyAlignment="1" applyProtection="1">
      <alignment vertical="center"/>
      <protection locked="0"/>
    </xf>
    <xf numFmtId="0" fontId="0" fillId="6" borderId="17" xfId="0" applyFill="1" applyBorder="1" applyAlignment="1">
      <alignment vertical="center"/>
    </xf>
    <xf numFmtId="0" fontId="0" fillId="5" borderId="63" xfId="0" applyFill="1" applyBorder="1" applyAlignment="1" applyProtection="1">
      <alignment horizontal="center" vertical="center" wrapText="1"/>
      <protection hidden="1"/>
    </xf>
    <xf numFmtId="0" fontId="0" fillId="0" borderId="4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4" fontId="0" fillId="5" borderId="71" xfId="0" applyNumberFormat="1" applyFill="1" applyBorder="1" applyAlignment="1" applyProtection="1">
      <alignment horizontal="right" vertical="center"/>
      <protection hidden="1"/>
    </xf>
    <xf numFmtId="0" fontId="0" fillId="0" borderId="17" xfId="0" applyBorder="1" applyAlignment="1" applyProtection="1">
      <alignment vertical="center"/>
      <protection hidden="1"/>
    </xf>
    <xf numFmtId="0" fontId="0" fillId="7" borderId="132" xfId="0" applyFill="1" applyBorder="1" applyAlignment="1" applyProtection="1">
      <alignment horizontal="center" vertical="center"/>
      <protection hidden="1"/>
    </xf>
    <xf numFmtId="0" fontId="0" fillId="7" borderId="32" xfId="0" applyFill="1" applyBorder="1" applyAlignment="1" applyProtection="1">
      <alignment horizontal="center" vertical="center"/>
      <protection hidden="1"/>
    </xf>
    <xf numFmtId="4" fontId="0" fillId="5" borderId="71" xfId="0" applyNumberFormat="1" applyFill="1" applyBorder="1" applyAlignment="1" applyProtection="1">
      <alignment vertical="center"/>
      <protection hidden="1"/>
    </xf>
    <xf numFmtId="0" fontId="0" fillId="0" borderId="17" xfId="0" applyBorder="1" applyAlignment="1">
      <alignment vertical="center"/>
    </xf>
    <xf numFmtId="0" fontId="0" fillId="5" borderId="40" xfId="0" applyFill="1" applyBorder="1" applyAlignment="1" applyProtection="1">
      <alignment horizontal="center" vertical="center" wrapText="1"/>
      <protection hidden="1"/>
    </xf>
    <xf numFmtId="0" fontId="0" fillId="0" borderId="60" xfId="0" applyBorder="1" applyAlignment="1">
      <alignment horizontal="center" vertical="center" wrapText="1"/>
    </xf>
    <xf numFmtId="0" fontId="0" fillId="0" borderId="59" xfId="0" applyBorder="1" applyAlignment="1">
      <alignment horizontal="center" vertical="center" wrapText="1"/>
    </xf>
    <xf numFmtId="0" fontId="0" fillId="0" borderId="47" xfId="0" applyBorder="1" applyAlignment="1">
      <alignment horizontal="center" vertical="center" wrapText="1"/>
    </xf>
    <xf numFmtId="0" fontId="0" fillId="0" borderId="42" xfId="0" applyBorder="1" applyAlignment="1">
      <alignment horizontal="center" vertical="center" wrapText="1"/>
    </xf>
    <xf numFmtId="0" fontId="0" fillId="0" borderId="48" xfId="0" applyBorder="1" applyAlignment="1">
      <alignment horizontal="center" vertical="center" wrapText="1"/>
    </xf>
    <xf numFmtId="0" fontId="1" fillId="5" borderId="121" xfId="0" applyNumberFormat="1" applyFont="1" applyFill="1" applyBorder="1" applyAlignment="1" applyProtection="1">
      <alignment horizontal="center" wrapText="1"/>
      <protection hidden="1"/>
    </xf>
    <xf numFmtId="0" fontId="0" fillId="0" borderId="29" xfId="0" applyBorder="1" applyAlignment="1">
      <alignment vertical="center" wrapText="1"/>
    </xf>
    <xf numFmtId="0" fontId="0" fillId="1" borderId="71" xfId="0" applyFill="1" applyBorder="1" applyAlignment="1" applyProtection="1">
      <alignment horizontal="center" vertical="center"/>
      <protection locked="0"/>
    </xf>
    <xf numFmtId="0" fontId="0" fillId="0" borderId="17" xfId="0" applyBorder="1" applyAlignment="1" applyProtection="1">
      <alignment horizontal="center" vertical="center"/>
      <protection locked="0"/>
    </xf>
    <xf numFmtId="176" fontId="0" fillId="0" borderId="71" xfId="0" applyNumberFormat="1" applyFill="1" applyBorder="1" applyAlignment="1" applyProtection="1">
      <alignment horizontal="right" vertical="center"/>
      <protection locked="0"/>
    </xf>
    <xf numFmtId="0" fontId="0" fillId="0" borderId="17" xfId="0" applyBorder="1" applyAlignment="1" applyProtection="1">
      <alignment vertical="center"/>
      <protection locked="0"/>
    </xf>
    <xf numFmtId="4" fontId="0" fillId="7" borderId="71" xfId="0" applyNumberFormat="1" applyFill="1" applyBorder="1" applyAlignment="1" applyProtection="1">
      <alignment horizontal="right" vertical="center"/>
      <protection hidden="1"/>
    </xf>
    <xf numFmtId="4" fontId="0" fillId="5" borderId="17" xfId="0" applyNumberFormat="1" applyFill="1" applyBorder="1" applyAlignment="1" applyProtection="1">
      <alignment horizontal="right" vertical="center"/>
      <protection hidden="1"/>
    </xf>
    <xf numFmtId="0" fontId="0" fillId="6" borderId="123" xfId="0" applyFill="1" applyBorder="1" applyAlignment="1" applyProtection="1">
      <alignment vertical="center"/>
      <protection locked="0"/>
    </xf>
    <xf numFmtId="0" fontId="0" fillId="6" borderId="124" xfId="0" applyFill="1" applyBorder="1" applyAlignment="1" applyProtection="1">
      <alignment vertical="center"/>
      <protection locked="0"/>
    </xf>
    <xf numFmtId="0" fontId="0" fillId="5" borderId="5" xfId="0" applyFill="1" applyBorder="1" applyAlignment="1" applyProtection="1">
      <alignment horizontal="center" vertical="center"/>
      <protection hidden="1"/>
    </xf>
    <xf numFmtId="0" fontId="0" fillId="5" borderId="17" xfId="0" applyFill="1" applyBorder="1" applyAlignment="1" applyProtection="1">
      <alignment horizontal="center" vertical="center" wrapText="1"/>
      <protection hidden="1"/>
    </xf>
    <xf numFmtId="0" fontId="0" fillId="5" borderId="123" xfId="0" applyFill="1" applyBorder="1" applyAlignment="1" applyProtection="1">
      <alignment horizontal="center" vertical="center"/>
      <protection hidden="1"/>
    </xf>
    <xf numFmtId="0" fontId="0" fillId="0" borderId="124" xfId="0" applyBorder="1" applyAlignment="1" applyProtection="1">
      <alignment vertical="center"/>
      <protection hidden="1"/>
    </xf>
    <xf numFmtId="0" fontId="0" fillId="5" borderId="31" xfId="0" applyFill="1" applyBorder="1" applyAlignment="1" applyProtection="1">
      <alignment horizontal="center" vertical="center"/>
      <protection hidden="1"/>
    </xf>
    <xf numFmtId="0" fontId="0" fillId="5" borderId="22" xfId="0" applyFill="1" applyBorder="1" applyAlignment="1" applyProtection="1">
      <alignment vertical="center"/>
      <protection hidden="1"/>
    </xf>
    <xf numFmtId="0" fontId="26" fillId="5" borderId="132" xfId="0" applyFont="1" applyFill="1" applyBorder="1" applyAlignment="1" applyProtection="1">
      <alignment vertical="center" wrapText="1"/>
      <protection hidden="1"/>
    </xf>
    <xf numFmtId="0" fontId="26" fillId="0" borderId="37" xfId="0" applyFont="1" applyBorder="1" applyAlignment="1">
      <alignment vertical="center" wrapText="1"/>
    </xf>
    <xf numFmtId="0" fontId="0" fillId="0" borderId="70" xfId="0" applyBorder="1" applyAlignment="1">
      <alignment vertical="center"/>
    </xf>
    <xf numFmtId="0" fontId="0" fillId="0" borderId="135" xfId="0" applyBorder="1" applyAlignment="1">
      <alignment vertical="center"/>
    </xf>
    <xf numFmtId="0" fontId="0" fillId="0" borderId="15" xfId="0" applyBorder="1" applyAlignment="1">
      <alignment vertical="center"/>
    </xf>
    <xf numFmtId="0" fontId="0" fillId="0" borderId="41" xfId="0" applyBorder="1" applyAlignment="1">
      <alignment horizontal="center" vertical="center"/>
    </xf>
    <xf numFmtId="0" fontId="0" fillId="0" borderId="7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30" xfId="0" applyBorder="1" applyAlignment="1">
      <alignment horizontal="center" vertical="center"/>
    </xf>
    <xf numFmtId="0" fontId="0" fillId="0" borderId="29" xfId="0" applyBorder="1" applyAlignment="1">
      <alignment horizontal="center" vertical="center"/>
    </xf>
    <xf numFmtId="0" fontId="0" fillId="5" borderId="121" xfId="0" applyFill="1" applyBorder="1" applyAlignment="1" applyProtection="1">
      <alignment vertical="center" wrapText="1"/>
      <protection hidden="1"/>
    </xf>
    <xf numFmtId="0" fontId="0" fillId="5" borderId="121" xfId="0" applyFill="1" applyBorder="1" applyAlignment="1" applyProtection="1">
      <alignment horizontal="center" vertical="center"/>
      <protection hidden="1"/>
    </xf>
    <xf numFmtId="0" fontId="0" fillId="6" borderId="71" xfId="0" applyFill="1" applyBorder="1" applyAlignment="1" applyProtection="1">
      <alignment vertical="center"/>
      <protection locked="0"/>
    </xf>
    <xf numFmtId="0" fontId="0" fillId="7" borderId="71" xfId="0" applyFill="1" applyBorder="1" applyAlignment="1" applyProtection="1">
      <alignment vertical="center"/>
      <protection hidden="1"/>
    </xf>
    <xf numFmtId="0" fontId="0" fillId="7" borderId="71" xfId="0" applyFill="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4" fontId="0" fillId="5" borderId="112" xfId="0" applyNumberFormat="1" applyFill="1" applyBorder="1" applyAlignment="1" applyProtection="1">
      <alignment horizontal="right" vertical="center"/>
      <protection hidden="1"/>
    </xf>
    <xf numFmtId="0" fontId="0" fillId="0" borderId="112" xfId="0" applyBorder="1" applyAlignment="1" applyProtection="1">
      <alignment horizontal="right" vertical="center"/>
      <protection hidden="1"/>
    </xf>
    <xf numFmtId="0" fontId="0" fillId="7"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4" fontId="0" fillId="5" borderId="22" xfId="0" applyNumberFormat="1" applyFill="1" applyBorder="1" applyAlignment="1" applyProtection="1">
      <alignment horizontal="right" vertical="center"/>
      <protection hidden="1"/>
    </xf>
    <xf numFmtId="0" fontId="0" fillId="5" borderId="130" xfId="0" applyFill="1" applyBorder="1" applyAlignment="1" applyProtection="1">
      <alignment horizontal="center" vertical="center" wrapText="1"/>
      <protection hidden="1"/>
    </xf>
    <xf numFmtId="0" fontId="0" fillId="5" borderId="130" xfId="0" applyFill="1" applyBorder="1" applyAlignment="1" applyProtection="1">
      <alignment horizontal="center" vertical="center"/>
      <protection hidden="1"/>
    </xf>
    <xf numFmtId="0" fontId="25" fillId="5" borderId="123" xfId="0" applyFont="1" applyFill="1" applyBorder="1" applyAlignment="1" applyProtection="1">
      <alignment horizontal="center" vertical="center"/>
      <protection hidden="1"/>
    </xf>
    <xf numFmtId="0" fontId="25" fillId="5" borderId="126" xfId="0" applyFont="1" applyFill="1" applyBorder="1" applyAlignment="1" applyProtection="1">
      <alignment horizontal="center" vertical="center"/>
      <protection hidden="1"/>
    </xf>
    <xf numFmtId="0" fontId="0" fillId="6" borderId="22" xfId="0" applyFill="1" applyBorder="1" applyAlignment="1" applyProtection="1">
      <alignment vertical="center"/>
      <protection locked="0"/>
    </xf>
    <xf numFmtId="0" fontId="0" fillId="6" borderId="112" xfId="0" applyFill="1" applyBorder="1" applyAlignment="1" applyProtection="1">
      <alignment vertical="center"/>
      <protection locked="0"/>
    </xf>
    <xf numFmtId="4" fontId="0" fillId="7" borderId="121" xfId="0" applyNumberFormat="1" applyFill="1" applyBorder="1" applyAlignment="1" applyProtection="1">
      <alignment horizontal="right" vertical="center"/>
      <protection hidden="1"/>
    </xf>
    <xf numFmtId="0" fontId="0" fillId="0" borderId="17" xfId="0" applyBorder="1" applyAlignment="1" applyProtection="1">
      <alignment horizontal="right" vertical="center"/>
      <protection hidden="1"/>
    </xf>
    <xf numFmtId="4" fontId="0" fillId="5" borderId="121" xfId="0" applyNumberFormat="1" applyFill="1" applyBorder="1" applyAlignment="1" applyProtection="1">
      <alignment horizontal="right" vertical="center"/>
      <protection hidden="1"/>
    </xf>
    <xf numFmtId="4" fontId="0" fillId="5" borderId="121" xfId="0" applyNumberFormat="1" applyFill="1" applyBorder="1" applyAlignment="1" applyProtection="1">
      <alignment vertical="center"/>
      <protection hidden="1"/>
    </xf>
    <xf numFmtId="0" fontId="1" fillId="5" borderId="123" xfId="0" applyNumberFormat="1" applyFont="1" applyFill="1" applyBorder="1" applyAlignment="1" applyProtection="1">
      <alignment horizontal="center"/>
      <protection hidden="1"/>
    </xf>
    <xf numFmtId="4" fontId="0" fillId="5" borderId="123" xfId="0" applyNumberFormat="1" applyFill="1" applyBorder="1" applyAlignment="1" applyProtection="1">
      <alignment vertical="center"/>
      <protection hidden="1"/>
    </xf>
    <xf numFmtId="0" fontId="0" fillId="7" borderId="23" xfId="0" applyFill="1" applyBorder="1" applyAlignment="1" applyProtection="1">
      <alignment horizontal="center" vertical="center"/>
      <protection hidden="1"/>
    </xf>
    <xf numFmtId="0" fontId="0" fillId="6" borderId="63" xfId="0" applyFill="1" applyBorder="1" applyAlignment="1" applyProtection="1">
      <alignment vertical="center"/>
      <protection locked="0"/>
    </xf>
    <xf numFmtId="0" fontId="0" fillId="6" borderId="60" xfId="0" applyFill="1" applyBorder="1" applyAlignment="1" applyProtection="1">
      <alignment vertical="center"/>
      <protection locked="0"/>
    </xf>
    <xf numFmtId="0" fontId="0" fillId="5" borderId="17" xfId="0" applyFill="1" applyBorder="1" applyAlignment="1" applyProtection="1">
      <alignment vertical="center"/>
      <protection hidden="1"/>
    </xf>
    <xf numFmtId="0" fontId="0" fillId="5" borderId="112" xfId="0" applyFill="1" applyBorder="1" applyAlignment="1" applyProtection="1">
      <alignment vertical="center"/>
      <protection hidden="1"/>
    </xf>
    <xf numFmtId="0" fontId="0" fillId="5" borderId="13" xfId="0" applyFill="1" applyBorder="1" applyAlignment="1" applyProtection="1">
      <alignment vertical="center"/>
      <protection hidden="1"/>
    </xf>
    <xf numFmtId="0" fontId="0" fillId="5" borderId="123" xfId="0" applyFill="1" applyBorder="1" applyAlignment="1" applyProtection="1">
      <alignment vertical="center"/>
      <protection hidden="1"/>
    </xf>
    <xf numFmtId="0" fontId="0" fillId="6" borderId="112" xfId="0" applyFill="1" applyBorder="1" applyAlignment="1" applyProtection="1">
      <alignment vertical="center"/>
      <protection hidden="1"/>
    </xf>
    <xf numFmtId="0" fontId="0" fillId="0" borderId="112" xfId="0" applyBorder="1" applyAlignment="1" applyProtection="1">
      <alignment vertical="center"/>
      <protection hidden="1"/>
    </xf>
    <xf numFmtId="176" fontId="0" fillId="0" borderId="121" xfId="0" applyNumberFormat="1" applyFill="1" applyBorder="1" applyAlignment="1" applyProtection="1">
      <alignment horizontal="right" vertical="center"/>
      <protection hidden="1"/>
    </xf>
    <xf numFmtId="176" fontId="0" fillId="0" borderId="17" xfId="0" applyNumberFormat="1" applyFill="1" applyBorder="1" applyAlignment="1" applyProtection="1">
      <alignment horizontal="right" vertical="center"/>
      <protection hidden="1"/>
    </xf>
    <xf numFmtId="0" fontId="0" fillId="7" borderId="119" xfId="0" applyFill="1" applyBorder="1" applyAlignment="1" applyProtection="1">
      <alignment horizontal="center" vertical="center"/>
      <protection hidden="1"/>
    </xf>
    <xf numFmtId="0" fontId="0" fillId="0" borderId="13" xfId="0" applyBorder="1" applyAlignment="1" applyProtection="1">
      <alignment vertical="center"/>
      <protection hidden="1"/>
    </xf>
    <xf numFmtId="0" fontId="0" fillId="5" borderId="126" xfId="0" applyFill="1" applyBorder="1" applyAlignment="1" applyProtection="1">
      <alignment vertical="center"/>
      <protection hidden="1"/>
    </xf>
    <xf numFmtId="0" fontId="0" fillId="5" borderId="124" xfId="0" applyFill="1" applyBorder="1" applyAlignment="1" applyProtection="1">
      <alignment vertical="center"/>
      <protection hidden="1"/>
    </xf>
    <xf numFmtId="0" fontId="0" fillId="0" borderId="25" xfId="0" applyBorder="1" applyAlignment="1" applyProtection="1">
      <alignment vertical="center"/>
      <protection hidden="1"/>
    </xf>
    <xf numFmtId="0" fontId="0" fillId="6" borderId="24" xfId="0" applyFill="1" applyBorder="1" applyAlignment="1" applyProtection="1">
      <alignment horizontal="left" vertical="center"/>
      <protection locked="0"/>
    </xf>
    <xf numFmtId="0" fontId="0" fillId="6" borderId="27" xfId="0" applyFill="1" applyBorder="1" applyAlignment="1" applyProtection="1">
      <alignment horizontal="left" vertical="center"/>
      <protection locked="0"/>
    </xf>
    <xf numFmtId="0" fontId="28" fillId="0" borderId="0" xfId="0" applyFont="1" applyAlignment="1" applyProtection="1">
      <alignment vertical="center"/>
      <protection hidden="1"/>
    </xf>
    <xf numFmtId="0" fontId="28" fillId="0" borderId="0" xfId="0" applyFont="1" applyAlignment="1">
      <alignment vertical="center"/>
    </xf>
    <xf numFmtId="0" fontId="18" fillId="0" borderId="0" xfId="0" applyFont="1" applyAlignment="1" applyProtection="1">
      <alignment horizontal="center" vertical="center"/>
      <protection hidden="1"/>
    </xf>
    <xf numFmtId="0" fontId="29" fillId="0" borderId="0" xfId="0" applyFont="1" applyAlignment="1">
      <alignment horizontal="center" vertical="center"/>
    </xf>
    <xf numFmtId="0" fontId="0" fillId="4" borderId="112" xfId="0" applyFill="1" applyBorder="1" applyAlignment="1" applyProtection="1">
      <alignment vertical="center"/>
      <protection hidden="1"/>
    </xf>
    <xf numFmtId="176" fontId="0" fillId="0" borderId="112" xfId="0" applyNumberFormat="1" applyBorder="1" applyAlignment="1" applyProtection="1">
      <alignment vertical="center"/>
      <protection hidden="1"/>
    </xf>
    <xf numFmtId="0" fontId="1" fillId="5" borderId="112" xfId="0" applyNumberFormat="1" applyFont="1" applyFill="1" applyBorder="1" applyAlignment="1" applyProtection="1">
      <alignment vertical="center"/>
      <protection hidden="1"/>
    </xf>
    <xf numFmtId="0" fontId="0" fillId="5" borderId="0" xfId="0" applyFill="1" applyBorder="1" applyAlignment="1" applyProtection="1">
      <alignment horizontal="center" vertical="center"/>
      <protection hidden="1"/>
    </xf>
    <xf numFmtId="0" fontId="0" fillId="0" borderId="0" xfId="0" applyAlignment="1" applyProtection="1">
      <alignment vertical="center"/>
      <protection hidden="1"/>
    </xf>
    <xf numFmtId="0" fontId="0" fillId="4" borderId="73" xfId="0" applyFill="1" applyBorder="1" applyAlignment="1" applyProtection="1">
      <alignment horizontal="center" vertical="center" wrapText="1"/>
      <protection hidden="1"/>
    </xf>
    <xf numFmtId="0" fontId="0" fillId="0" borderId="7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4" fontId="0" fillId="0" borderId="112" xfId="0" applyNumberFormat="1" applyBorder="1" applyAlignment="1" applyProtection="1">
      <alignment vertical="center"/>
      <protection hidden="1"/>
    </xf>
    <xf numFmtId="0" fontId="0" fillId="0" borderId="45" xfId="0" applyBorder="1" applyAlignment="1" applyProtection="1">
      <alignment vertical="center"/>
      <protection hidden="1"/>
    </xf>
    <xf numFmtId="0" fontId="0" fillId="6" borderId="22" xfId="0" applyFill="1" applyBorder="1" applyAlignment="1" applyProtection="1">
      <alignment vertical="center"/>
      <protection hidden="1"/>
    </xf>
    <xf numFmtId="176" fontId="0" fillId="5" borderId="24" xfId="0" applyNumberFormat="1" applyFill="1" applyBorder="1" applyAlignment="1" applyProtection="1">
      <alignment horizontal="center" vertical="center"/>
      <protection hidden="1"/>
    </xf>
    <xf numFmtId="0" fontId="0" fillId="5" borderId="49" xfId="0" applyFill="1" applyBorder="1" applyAlignment="1" applyProtection="1">
      <alignment horizontal="center" vertical="center"/>
      <protection hidden="1"/>
    </xf>
    <xf numFmtId="0" fontId="0" fillId="5" borderId="119" xfId="0" applyFill="1" applyBorder="1" applyAlignment="1" applyProtection="1">
      <alignment vertical="center" wrapText="1"/>
      <protection hidden="1"/>
    </xf>
    <xf numFmtId="0" fontId="0" fillId="5" borderId="63" xfId="0" applyFill="1" applyBorder="1" applyAlignment="1" applyProtection="1">
      <alignment vertical="center"/>
      <protection hidden="1"/>
    </xf>
    <xf numFmtId="0" fontId="0" fillId="0" borderId="24" xfId="0" applyBorder="1" applyAlignment="1">
      <alignment vertical="center"/>
    </xf>
    <xf numFmtId="0" fontId="0" fillId="0" borderId="27" xfId="0" applyBorder="1" applyAlignment="1">
      <alignment vertical="center"/>
    </xf>
    <xf numFmtId="176" fontId="0" fillId="0" borderId="22" xfId="0" applyNumberFormat="1" applyBorder="1" applyAlignment="1" applyProtection="1">
      <alignment vertical="center"/>
      <protection locked="0"/>
    </xf>
    <xf numFmtId="176" fontId="0" fillId="0" borderId="1" xfId="0" applyNumberFormat="1" applyBorder="1" applyAlignment="1" applyProtection="1">
      <alignment vertical="center"/>
      <protection locked="0"/>
    </xf>
    <xf numFmtId="4" fontId="0" fillId="0" borderId="2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69" xfId="0" applyNumberFormat="1" applyBorder="1" applyAlignment="1" applyProtection="1">
      <alignment vertical="center"/>
      <protection locked="0"/>
    </xf>
    <xf numFmtId="0" fontId="0" fillId="6" borderId="26" xfId="0" applyFill="1" applyBorder="1" applyAlignment="1" applyProtection="1">
      <alignment vertical="center"/>
      <protection locked="0"/>
    </xf>
    <xf numFmtId="0" fontId="0" fillId="6" borderId="61" xfId="0" applyFill="1" applyBorder="1" applyAlignment="1" applyProtection="1">
      <alignment vertical="center"/>
      <protection locked="0"/>
    </xf>
    <xf numFmtId="0" fontId="0" fillId="5" borderId="132" xfId="0" applyFill="1" applyBorder="1" applyAlignment="1">
      <alignment horizontal="center" vertical="center"/>
    </xf>
    <xf numFmtId="0" fontId="0" fillId="5" borderId="61" xfId="0" applyFill="1" applyBorder="1" applyAlignment="1" applyProtection="1">
      <alignment vertical="center"/>
      <protection hidden="1"/>
    </xf>
    <xf numFmtId="0" fontId="0" fillId="5" borderId="41" xfId="0" applyFill="1" applyBorder="1" applyAlignment="1" applyProtection="1">
      <alignment horizontal="center" vertical="center" wrapText="1"/>
      <protection hidden="1"/>
    </xf>
    <xf numFmtId="0" fontId="0" fillId="0" borderId="0" xfId="0" applyAlignment="1">
      <alignment vertical="center" wrapText="1"/>
    </xf>
    <xf numFmtId="0" fontId="0" fillId="4" borderId="31" xfId="0" applyFill="1" applyBorder="1" applyAlignment="1" applyProtection="1">
      <alignment horizontal="center" vertical="center" wrapText="1"/>
      <protection hidden="1"/>
    </xf>
    <xf numFmtId="0" fontId="0" fillId="0" borderId="34" xfId="0" applyBorder="1" applyAlignment="1" applyProtection="1">
      <alignment vertical="center"/>
      <protection hidden="1"/>
    </xf>
    <xf numFmtId="0" fontId="0" fillId="0" borderId="1" xfId="0" applyBorder="1" applyAlignment="1" applyProtection="1">
      <alignment vertical="center"/>
      <protection hidden="1"/>
    </xf>
    <xf numFmtId="0" fontId="0" fillId="5" borderId="23" xfId="0" applyFill="1" applyBorder="1" applyAlignment="1" applyProtection="1">
      <alignment horizontal="center" vertical="center"/>
      <protection hidden="1"/>
    </xf>
    <xf numFmtId="0" fontId="0" fillId="5" borderId="28" xfId="0" applyFill="1"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5" borderId="34" xfId="0"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22" xfId="0" applyFill="1" applyBorder="1" applyAlignment="1" applyProtection="1">
      <alignment horizontal="center" vertical="center" wrapText="1"/>
      <protection hidden="1"/>
    </xf>
    <xf numFmtId="0" fontId="0" fillId="5" borderId="1" xfId="0" applyFill="1" applyBorder="1" applyAlignment="1" applyProtection="1">
      <alignment vertical="center" wrapText="1"/>
      <protection hidden="1"/>
    </xf>
    <xf numFmtId="0" fontId="0" fillId="5" borderId="21" xfId="0" applyFill="1" applyBorder="1" applyAlignment="1" applyProtection="1">
      <alignment vertical="center" wrapText="1"/>
      <protection hidden="1"/>
    </xf>
    <xf numFmtId="0" fontId="0" fillId="5" borderId="1" xfId="0" applyFill="1" applyBorder="1" applyAlignment="1" applyProtection="1">
      <alignment horizontal="center" vertical="center" wrapText="1"/>
      <protection hidden="1"/>
    </xf>
    <xf numFmtId="0" fontId="0" fillId="5" borderId="21" xfId="0" applyFill="1" applyBorder="1" applyAlignment="1" applyProtection="1">
      <alignment horizontal="center" vertical="center" wrapText="1"/>
      <protection hidden="1"/>
    </xf>
    <xf numFmtId="0" fontId="0" fillId="5" borderId="73" xfId="0" applyFill="1" applyBorder="1" applyAlignment="1" applyProtection="1">
      <alignment vertical="center" wrapText="1"/>
      <protection hidden="1"/>
    </xf>
    <xf numFmtId="0" fontId="0" fillId="0" borderId="33" xfId="0" applyBorder="1" applyAlignment="1">
      <alignment vertical="center" wrapText="1"/>
    </xf>
    <xf numFmtId="0" fontId="0" fillId="5" borderId="0" xfId="0" applyFill="1" applyBorder="1" applyAlignment="1" applyProtection="1">
      <alignment vertical="center"/>
      <protection hidden="1"/>
    </xf>
    <xf numFmtId="0" fontId="0" fillId="0" borderId="42" xfId="0" applyBorder="1" applyAlignment="1">
      <alignment vertical="center"/>
    </xf>
    <xf numFmtId="0" fontId="0" fillId="0" borderId="5" xfId="0" applyBorder="1" applyAlignment="1">
      <alignment vertical="center"/>
    </xf>
    <xf numFmtId="0" fontId="0" fillId="5" borderId="23" xfId="0" applyFill="1" applyBorder="1" applyAlignment="1">
      <alignment horizontal="center" vertical="center"/>
    </xf>
    <xf numFmtId="0" fontId="26" fillId="0" borderId="0" xfId="0" applyFont="1" applyFill="1" applyBorder="1" applyAlignment="1" applyProtection="1">
      <alignment vertical="center" wrapText="1"/>
      <protection hidden="1"/>
    </xf>
    <xf numFmtId="0" fontId="26" fillId="0" borderId="0" xfId="0" applyFont="1" applyFill="1" applyBorder="1" applyAlignment="1">
      <alignment vertical="center" wrapText="1"/>
    </xf>
    <xf numFmtId="0" fontId="0" fillId="5" borderId="64" xfId="0" applyFill="1" applyBorder="1" applyAlignment="1" applyProtection="1">
      <alignment horizontal="left" vertical="center"/>
      <protection hidden="1"/>
    </xf>
    <xf numFmtId="0" fontId="0" fillId="5" borderId="65" xfId="0" applyFill="1" applyBorder="1" applyAlignment="1" applyProtection="1">
      <alignment horizontal="left" vertical="center"/>
      <protection hidden="1"/>
    </xf>
    <xf numFmtId="0" fontId="0" fillId="5" borderId="5" xfId="0" applyFill="1" applyBorder="1" applyAlignment="1" applyProtection="1">
      <alignment horizontal="left" vertical="center"/>
      <protection hidden="1"/>
    </xf>
    <xf numFmtId="0" fontId="0" fillId="5" borderId="48" xfId="0" applyFill="1" applyBorder="1" applyAlignment="1" applyProtection="1">
      <alignment horizontal="left" vertical="center"/>
      <protection hidden="1"/>
    </xf>
    <xf numFmtId="0" fontId="0" fillId="0" borderId="17" xfId="0" applyBorder="1" applyAlignment="1">
      <alignment horizontal="center" vertical="center"/>
    </xf>
    <xf numFmtId="0" fontId="0" fillId="0" borderId="45"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45" xfId="0" applyBorder="1" applyAlignment="1">
      <alignment horizontal="center" vertical="center"/>
    </xf>
    <xf numFmtId="0" fontId="0" fillId="0" borderId="126" xfId="0" applyBorder="1" applyAlignment="1" applyProtection="1">
      <alignment horizontal="center" vertical="center"/>
      <protection hidden="1"/>
    </xf>
    <xf numFmtId="0" fontId="0" fillId="4" borderId="74" xfId="0" applyFill="1" applyBorder="1" applyAlignment="1" applyProtection="1">
      <alignment horizontal="center" vertical="center" wrapText="1"/>
      <protection hidden="1"/>
    </xf>
    <xf numFmtId="0" fontId="0" fillId="4" borderId="33"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protection locked="0"/>
    </xf>
    <xf numFmtId="0" fontId="0" fillId="6" borderId="121" xfId="0" applyFill="1" applyBorder="1" applyAlignment="1" applyProtection="1">
      <alignment vertical="center"/>
      <protection locked="0"/>
    </xf>
    <xf numFmtId="0" fontId="0" fillId="0" borderId="11" xfId="0" applyBorder="1" applyAlignment="1" applyProtection="1">
      <alignment vertical="center" wrapText="1"/>
      <protection hidden="1"/>
    </xf>
    <xf numFmtId="0" fontId="1" fillId="5" borderId="16" xfId="0" applyNumberFormat="1" applyFont="1" applyFill="1" applyBorder="1" applyAlignment="1" applyProtection="1">
      <alignment vertical="center"/>
      <protection hidden="1"/>
    </xf>
    <xf numFmtId="0" fontId="0" fillId="5" borderId="8" xfId="0" applyFill="1" applyBorder="1" applyAlignment="1" applyProtection="1">
      <alignment vertical="center"/>
      <protection hidden="1"/>
    </xf>
    <xf numFmtId="0" fontId="0" fillId="5" borderId="11" xfId="0" applyFill="1" applyBorder="1" applyAlignment="1" applyProtection="1">
      <alignment vertical="center"/>
      <protection hidden="1"/>
    </xf>
    <xf numFmtId="0" fontId="0" fillId="5" borderId="12" xfId="0" applyFill="1" applyBorder="1" applyAlignment="1" applyProtection="1">
      <alignment vertical="center"/>
      <protection hidden="1"/>
    </xf>
    <xf numFmtId="0" fontId="0" fillId="10" borderId="6" xfId="0" applyFill="1" applyBorder="1" applyAlignment="1" applyProtection="1">
      <alignment horizontal="center" vertical="center"/>
      <protection hidden="1"/>
    </xf>
    <xf numFmtId="0" fontId="0" fillId="10" borderId="9" xfId="0" applyFill="1" applyBorder="1" applyAlignment="1" applyProtection="1">
      <alignment vertical="center"/>
      <protection hidden="1"/>
    </xf>
    <xf numFmtId="0" fontId="0" fillId="0" borderId="2" xfId="0" applyBorder="1" applyAlignment="1" applyProtection="1">
      <alignment vertical="center" wrapText="1"/>
      <protection hidden="1"/>
    </xf>
    <xf numFmtId="0" fontId="0" fillId="0" borderId="17" xfId="0" applyBorder="1" applyAlignment="1" applyProtection="1">
      <alignment vertical="center" wrapText="1"/>
      <protection hidden="1"/>
    </xf>
    <xf numFmtId="0" fontId="0" fillId="5" borderId="62" xfId="0" applyNumberFormat="1" applyFill="1" applyBorder="1" applyAlignment="1" applyProtection="1">
      <alignment vertical="center"/>
      <protection hidden="1"/>
    </xf>
    <xf numFmtId="0" fontId="0" fillId="0" borderId="68" xfId="0" applyBorder="1" applyAlignment="1" applyProtection="1">
      <alignment vertical="center"/>
      <protection hidden="1"/>
    </xf>
    <xf numFmtId="0" fontId="0" fillId="5" borderId="72" xfId="0" applyFill="1" applyBorder="1" applyAlignment="1" applyProtection="1">
      <alignment horizontal="center" vertical="center"/>
      <protection hidden="1"/>
    </xf>
    <xf numFmtId="0" fontId="0" fillId="0" borderId="37" xfId="0" applyBorder="1" applyAlignment="1">
      <alignment vertical="center"/>
    </xf>
    <xf numFmtId="0" fontId="0" fillId="0" borderId="13" xfId="0" applyBorder="1" applyAlignment="1">
      <alignment horizontal="center" vertical="center"/>
    </xf>
    <xf numFmtId="0" fontId="0" fillId="0" borderId="29" xfId="0" applyBorder="1" applyAlignment="1">
      <alignment vertical="center"/>
    </xf>
    <xf numFmtId="0" fontId="0" fillId="0" borderId="48" xfId="0" applyBorder="1" applyAlignment="1">
      <alignment vertical="center"/>
    </xf>
    <xf numFmtId="176" fontId="0" fillId="5" borderId="49" xfId="0" applyNumberFormat="1" applyFill="1" applyBorder="1" applyAlignment="1" applyProtection="1">
      <alignment horizontal="center" vertical="center"/>
      <protection hidden="1"/>
    </xf>
    <xf numFmtId="0" fontId="0" fillId="5" borderId="124" xfId="0" applyFill="1" applyBorder="1" applyAlignment="1" applyProtection="1">
      <alignment horizontal="center" vertical="center"/>
      <protection hidden="1"/>
    </xf>
    <xf numFmtId="0" fontId="0" fillId="5" borderId="73" xfId="0" applyFill="1" applyBorder="1" applyAlignment="1" applyProtection="1">
      <alignment horizontal="center" vertical="center"/>
      <protection hidden="1"/>
    </xf>
    <xf numFmtId="0" fontId="0" fillId="5" borderId="132" xfId="0" applyFill="1" applyBorder="1" applyAlignment="1" applyProtection="1">
      <alignment horizontal="center" vertical="center"/>
      <protection hidden="1"/>
    </xf>
    <xf numFmtId="0" fontId="0" fillId="5" borderId="3" xfId="0" applyFill="1" applyBorder="1" applyAlignment="1" applyProtection="1">
      <alignment horizontal="left" vertical="center"/>
      <protection hidden="1"/>
    </xf>
    <xf numFmtId="0" fontId="0" fillId="5" borderId="4" xfId="0" applyFill="1" applyBorder="1" applyAlignment="1" applyProtection="1">
      <alignment horizontal="left" vertical="center"/>
      <protection hidden="1"/>
    </xf>
    <xf numFmtId="0" fontId="0" fillId="5" borderId="33" xfId="0" applyFill="1" applyBorder="1" applyAlignment="1" applyProtection="1">
      <alignment horizontal="left" vertical="center"/>
      <protection hidden="1"/>
    </xf>
    <xf numFmtId="0" fontId="0" fillId="5" borderId="37" xfId="0" applyFill="1" applyBorder="1" applyAlignment="1" applyProtection="1">
      <alignment horizontal="left" vertical="center"/>
      <protection hidden="1"/>
    </xf>
    <xf numFmtId="0" fontId="0" fillId="4" borderId="131" xfId="0" applyFill="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5" borderId="38" xfId="0" applyNumberFormat="1" applyFill="1" applyBorder="1" applyAlignment="1" applyProtection="1">
      <alignment horizontal="center" vertical="center"/>
      <protection hidden="1"/>
    </xf>
    <xf numFmtId="0" fontId="1" fillId="5" borderId="38" xfId="0" applyNumberFormat="1" applyFont="1" applyFill="1" applyBorder="1" applyAlignment="1" applyProtection="1">
      <alignment horizontal="center" vertical="center"/>
      <protection hidden="1"/>
    </xf>
    <xf numFmtId="0" fontId="0" fillId="5" borderId="38" xfId="0" applyFill="1" applyBorder="1" applyAlignment="1" applyProtection="1">
      <alignment horizontal="center" vertical="center"/>
      <protection hidden="1"/>
    </xf>
    <xf numFmtId="3" fontId="0" fillId="5" borderId="38" xfId="0" applyNumberFormat="1" applyFill="1" applyBorder="1" applyAlignment="1" applyProtection="1">
      <alignment horizontal="center" vertical="center"/>
      <protection hidden="1"/>
    </xf>
    <xf numFmtId="3" fontId="1" fillId="5" borderId="38" xfId="0" applyNumberFormat="1" applyFont="1" applyFill="1" applyBorder="1" applyAlignment="1" applyProtection="1">
      <alignment horizontal="center" vertical="center"/>
      <protection hidden="1"/>
    </xf>
    <xf numFmtId="0" fontId="0" fillId="0" borderId="0" xfId="0" applyBorder="1" applyAlignment="1" applyProtection="1">
      <alignment horizontal="center"/>
      <protection hidden="1"/>
    </xf>
    <xf numFmtId="0" fontId="22" fillId="0" borderId="0" xfId="0" applyFont="1" applyFill="1" applyBorder="1" applyAlignment="1" applyProtection="1">
      <alignment horizontal="center"/>
      <protection hidden="1"/>
    </xf>
    <xf numFmtId="0" fontId="22" fillId="0" borderId="0" xfId="0" applyFont="1" applyFill="1" applyBorder="1" applyAlignment="1" applyProtection="1">
      <protection hidden="1"/>
    </xf>
    <xf numFmtId="0" fontId="22" fillId="0" borderId="0" xfId="0" applyFont="1" applyFill="1" applyBorder="1" applyAlignment="1" applyProtection="1">
      <alignment vertical="top" wrapText="1"/>
      <protection hidden="1"/>
    </xf>
    <xf numFmtId="0" fontId="0" fillId="0" borderId="22" xfId="0" applyFill="1" applyBorder="1" applyAlignment="1" applyProtection="1">
      <alignment horizontal="center" vertical="center"/>
      <protection hidden="1"/>
    </xf>
    <xf numFmtId="0" fontId="0" fillId="0" borderId="61" xfId="0"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71" xfId="0" applyFill="1" applyBorder="1" applyAlignment="1" applyProtection="1">
      <alignment vertical="center"/>
      <protection hidden="1"/>
    </xf>
    <xf numFmtId="0" fontId="0" fillId="0" borderId="29" xfId="0" applyFill="1" applyBorder="1" applyAlignment="1" applyProtection="1">
      <alignment vertical="center"/>
      <protection hidden="1"/>
    </xf>
    <xf numFmtId="0" fontId="0" fillId="0" borderId="73" xfId="0" applyFill="1" applyBorder="1" applyAlignment="1" applyProtection="1">
      <alignment horizontal="center"/>
      <protection hidden="1"/>
    </xf>
    <xf numFmtId="0" fontId="0" fillId="0" borderId="74" xfId="0"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0" borderId="22" xfId="0" applyNumberFormat="1" applyFill="1" applyBorder="1" applyAlignment="1" applyProtection="1">
      <alignment horizontal="center" vertical="center"/>
      <protection hidden="1"/>
    </xf>
    <xf numFmtId="0" fontId="0" fillId="0" borderId="38" xfId="0" applyFill="1" applyBorder="1" applyAlignment="1" applyProtection="1">
      <alignment horizontal="center" vertical="center"/>
      <protection hidden="1"/>
    </xf>
    <xf numFmtId="0" fontId="0" fillId="0" borderId="71" xfId="0" applyFill="1" applyBorder="1" applyAlignment="1" applyProtection="1">
      <alignment horizontal="center" vertical="center"/>
      <protection hidden="1"/>
    </xf>
    <xf numFmtId="0" fontId="0" fillId="0" borderId="130" xfId="0"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71" xfId="0" applyNumberFormat="1" applyFill="1" applyBorder="1" applyAlignment="1" applyProtection="1">
      <alignment horizontal="center" vertical="center"/>
      <protection hidden="1"/>
    </xf>
    <xf numFmtId="0" fontId="0" fillId="0" borderId="130" xfId="0" applyNumberFormat="1" applyFill="1" applyBorder="1" applyAlignment="1" applyProtection="1">
      <alignment horizontal="center" vertical="center"/>
      <protection hidden="1"/>
    </xf>
    <xf numFmtId="0" fontId="0" fillId="0" borderId="29" xfId="0" applyNumberFormat="1" applyFill="1" applyBorder="1" applyAlignment="1" applyProtection="1">
      <alignment horizontal="center" vertical="center"/>
      <protection hidden="1"/>
    </xf>
    <xf numFmtId="0" fontId="0" fillId="0" borderId="45" xfId="0" applyFill="1" applyBorder="1" applyAlignment="1" applyProtection="1">
      <alignment horizontal="center" vertical="center"/>
      <protection hidden="1"/>
    </xf>
    <xf numFmtId="0" fontId="0" fillId="0" borderId="46" xfId="0" applyFill="1" applyBorder="1" applyAlignment="1" applyProtection="1">
      <alignment horizontal="center" vertical="center"/>
      <protection hidden="1"/>
    </xf>
    <xf numFmtId="0" fontId="1" fillId="5" borderId="50" xfId="0" applyFont="1" applyFill="1" applyBorder="1" applyAlignment="1" applyProtection="1">
      <alignment horizontal="center" vertical="center"/>
      <protection hidden="1"/>
    </xf>
    <xf numFmtId="0" fontId="0" fillId="5" borderId="50" xfId="0" applyFill="1" applyBorder="1" applyAlignment="1" applyProtection="1">
      <alignment horizontal="center" vertical="center"/>
      <protection hidden="1"/>
    </xf>
    <xf numFmtId="0" fontId="0" fillId="5" borderId="71" xfId="0" applyFill="1" applyBorder="1" applyAlignment="1" applyProtection="1">
      <alignment horizontal="center"/>
      <protection hidden="1"/>
    </xf>
    <xf numFmtId="0" fontId="0" fillId="5" borderId="2" xfId="0" applyFill="1" applyBorder="1" applyAlignment="1" applyProtection="1">
      <alignment horizontal="center"/>
      <protection hidden="1"/>
    </xf>
    <xf numFmtId="0" fontId="0" fillId="5" borderId="21" xfId="0" applyFill="1" applyBorder="1" applyAlignment="1" applyProtection="1">
      <alignment horizontal="center" vertical="center"/>
      <protection hidden="1"/>
    </xf>
    <xf numFmtId="0" fontId="0" fillId="5" borderId="22" xfId="0" applyNumberFormat="1" applyFill="1" applyBorder="1" applyAlignment="1" applyProtection="1">
      <alignment horizontal="center" vertical="center"/>
      <protection hidden="1"/>
    </xf>
    <xf numFmtId="0" fontId="0" fillId="5" borderId="24" xfId="0" applyFill="1" applyBorder="1" applyAlignment="1" applyProtection="1">
      <protection hidden="1"/>
    </xf>
    <xf numFmtId="0" fontId="0" fillId="5" borderId="25" xfId="0" applyFill="1" applyBorder="1" applyAlignment="1" applyProtection="1">
      <protection hidden="1"/>
    </xf>
    <xf numFmtId="0" fontId="0" fillId="5" borderId="25" xfId="0" applyFill="1" applyBorder="1" applyAlignment="1" applyProtection="1">
      <alignment vertical="center"/>
      <protection hidden="1"/>
    </xf>
    <xf numFmtId="0" fontId="1" fillId="5" borderId="38" xfId="0" applyFont="1" applyFill="1" applyBorder="1" applyAlignment="1" applyProtection="1">
      <alignment horizontal="center" vertical="center"/>
      <protection hidden="1"/>
    </xf>
    <xf numFmtId="4" fontId="0" fillId="5" borderId="20" xfId="0" applyNumberFormat="1" applyFill="1" applyBorder="1" applyAlignment="1" applyProtection="1">
      <alignment vertical="center"/>
      <protection hidden="1"/>
    </xf>
    <xf numFmtId="0" fontId="0" fillId="0" borderId="138" xfId="0" applyBorder="1" applyAlignment="1" applyProtection="1">
      <alignment vertical="center"/>
      <protection hidden="1"/>
    </xf>
    <xf numFmtId="4" fontId="0" fillId="7" borderId="20" xfId="0" applyNumberFormat="1" applyFill="1" applyBorder="1" applyAlignment="1" applyProtection="1">
      <alignment horizontal="right" vertical="center"/>
      <protection hidden="1"/>
    </xf>
    <xf numFmtId="0" fontId="0" fillId="0" borderId="138" xfId="0" applyBorder="1" applyAlignment="1" applyProtection="1">
      <alignment horizontal="right" vertical="center"/>
      <protection hidden="1"/>
    </xf>
    <xf numFmtId="4" fontId="0" fillId="5" borderId="17" xfId="0" applyNumberFormat="1" applyFill="1" applyBorder="1" applyAlignment="1" applyProtection="1">
      <alignment vertical="center"/>
      <protection hidden="1"/>
    </xf>
    <xf numFmtId="4" fontId="0" fillId="5" borderId="21" xfId="0" applyNumberFormat="1" applyFill="1" applyBorder="1" applyAlignment="1" applyProtection="1">
      <alignment vertical="center"/>
      <protection hidden="1"/>
    </xf>
    <xf numFmtId="4" fontId="0" fillId="5" borderId="69" xfId="0" applyNumberFormat="1" applyFill="1" applyBorder="1" applyAlignment="1" applyProtection="1">
      <alignment vertical="center"/>
      <protection hidden="1"/>
    </xf>
    <xf numFmtId="4" fontId="0" fillId="5" borderId="58" xfId="0" applyNumberFormat="1" applyFill="1" applyBorder="1" applyAlignment="1" applyProtection="1">
      <alignment vertical="center"/>
      <protection hidden="1"/>
    </xf>
    <xf numFmtId="4" fontId="0" fillId="5" borderId="138" xfId="0" applyNumberFormat="1" applyFill="1" applyBorder="1" applyAlignment="1" applyProtection="1">
      <alignment vertical="center"/>
      <protection hidden="1"/>
    </xf>
    <xf numFmtId="4" fontId="0" fillId="7" borderId="58" xfId="0" applyNumberFormat="1" applyFill="1" applyBorder="1" applyAlignment="1" applyProtection="1">
      <alignment horizontal="right" vertical="center"/>
      <protection hidden="1"/>
    </xf>
    <xf numFmtId="0" fontId="0" fillId="9" borderId="20" xfId="0" applyFill="1" applyBorder="1" applyAlignment="1" applyProtection="1">
      <alignment vertical="center"/>
      <protection locked="0"/>
    </xf>
    <xf numFmtId="0" fontId="0" fillId="9" borderId="138" xfId="0" applyFill="1" applyBorder="1" applyAlignment="1" applyProtection="1">
      <alignment vertical="center"/>
      <protection locked="0"/>
    </xf>
    <xf numFmtId="0" fontId="0" fillId="16" borderId="112" xfId="0" applyFill="1" applyBorder="1" applyAlignment="1" applyProtection="1">
      <alignment vertical="center"/>
      <protection locked="0"/>
    </xf>
    <xf numFmtId="0" fontId="0" fillId="16" borderId="21" xfId="0" applyFill="1" applyBorder="1" applyAlignment="1" applyProtection="1">
      <alignment vertical="center"/>
      <protection locked="0"/>
    </xf>
    <xf numFmtId="0" fontId="0" fillId="9" borderId="58" xfId="0" applyFill="1" applyBorder="1" applyAlignment="1" applyProtection="1">
      <alignment vertical="center"/>
      <protection locked="0"/>
    </xf>
    <xf numFmtId="4" fontId="0" fillId="5" borderId="21" xfId="0" applyNumberFormat="1" applyFill="1" applyBorder="1" applyAlignment="1" applyProtection="1">
      <alignment horizontal="right" vertical="center"/>
      <protection hidden="1"/>
    </xf>
    <xf numFmtId="0" fontId="0" fillId="0" borderId="69" xfId="0" applyBorder="1" applyAlignment="1" applyProtection="1">
      <alignment horizontal="right" vertical="center"/>
      <protection hidden="1"/>
    </xf>
    <xf numFmtId="4" fontId="0" fillId="5" borderId="69" xfId="0" applyNumberFormat="1" applyFill="1" applyBorder="1" applyAlignment="1" applyProtection="1">
      <alignment horizontal="right" vertical="center"/>
      <protection hidden="1"/>
    </xf>
    <xf numFmtId="0" fontId="0" fillId="0" borderId="58" xfId="0" applyBorder="1" applyAlignment="1" applyProtection="1">
      <alignment horizontal="right" vertical="center"/>
      <protection hidden="1"/>
    </xf>
    <xf numFmtId="0" fontId="0" fillId="0" borderId="78" xfId="0" applyBorder="1" applyAlignment="1" applyProtection="1">
      <alignment horizontal="right" vertical="center"/>
      <protection hidden="1"/>
    </xf>
    <xf numFmtId="176" fontId="0" fillId="0" borderId="20" xfId="0" applyNumberFormat="1" applyFill="1" applyBorder="1" applyAlignment="1" applyProtection="1">
      <alignment horizontal="right" vertical="center"/>
      <protection locked="0"/>
    </xf>
    <xf numFmtId="176" fontId="0" fillId="0" borderId="138" xfId="0" applyNumberFormat="1" applyFill="1" applyBorder="1" applyAlignment="1" applyProtection="1">
      <alignment horizontal="right" vertical="center"/>
      <protection locked="0"/>
    </xf>
    <xf numFmtId="176" fontId="0" fillId="0" borderId="20" xfId="0" applyNumberFormat="1" applyBorder="1" applyAlignment="1" applyProtection="1">
      <alignment vertical="center"/>
      <protection locked="0"/>
    </xf>
    <xf numFmtId="176" fontId="0" fillId="0" borderId="138" xfId="0" applyNumberFormat="1" applyBorder="1" applyAlignment="1" applyProtection="1">
      <alignment vertical="center"/>
      <protection locked="0"/>
    </xf>
    <xf numFmtId="4" fontId="0" fillId="7" borderId="21" xfId="0" applyNumberFormat="1" applyFill="1" applyBorder="1" applyAlignment="1" applyProtection="1">
      <alignment horizontal="right" vertical="center"/>
      <protection hidden="1"/>
    </xf>
    <xf numFmtId="4" fontId="0" fillId="5" borderId="22" xfId="0" applyNumberFormat="1" applyFill="1" applyBorder="1" applyAlignment="1" applyProtection="1">
      <alignment vertical="center"/>
      <protection hidden="1"/>
    </xf>
    <xf numFmtId="0" fontId="0" fillId="0" borderId="69" xfId="0" applyBorder="1" applyAlignment="1" applyProtection="1">
      <alignment vertical="center"/>
      <protection hidden="1"/>
    </xf>
    <xf numFmtId="0" fontId="0" fillId="0" borderId="22" xfId="0" applyBorder="1" applyAlignment="1" applyProtection="1">
      <alignment vertical="center"/>
      <protection hidden="1"/>
    </xf>
    <xf numFmtId="0" fontId="0" fillId="0" borderId="22" xfId="0" applyBorder="1" applyAlignment="1" applyProtection="1">
      <alignment horizontal="right" vertical="center"/>
      <protection hidden="1"/>
    </xf>
    <xf numFmtId="4" fontId="0" fillId="7" borderId="69" xfId="0" applyNumberFormat="1" applyFill="1" applyBorder="1" applyAlignment="1" applyProtection="1">
      <alignment horizontal="right" vertical="center"/>
      <protection hidden="1"/>
    </xf>
    <xf numFmtId="176" fontId="0" fillId="0" borderId="121" xfId="0" applyNumberFormat="1" applyFill="1" applyBorder="1" applyAlignment="1" applyProtection="1">
      <alignment horizontal="right" vertical="center"/>
      <protection locked="0"/>
    </xf>
    <xf numFmtId="176" fontId="0" fillId="0" borderId="17" xfId="0" applyNumberFormat="1" applyFill="1" applyBorder="1" applyAlignment="1" applyProtection="1">
      <alignment horizontal="right" vertical="center"/>
      <protection locked="0"/>
    </xf>
    <xf numFmtId="0" fontId="0" fillId="5" borderId="31" xfId="0" applyFill="1" applyBorder="1" applyAlignment="1" applyProtection="1">
      <alignment vertical="center" wrapText="1"/>
      <protection hidden="1"/>
    </xf>
    <xf numFmtId="0" fontId="0" fillId="0" borderId="34" xfId="0" applyBorder="1" applyAlignment="1" applyProtection="1">
      <alignment vertical="center" wrapText="1"/>
      <protection hidden="1"/>
    </xf>
    <xf numFmtId="0" fontId="0" fillId="0" borderId="36" xfId="0" applyBorder="1" applyAlignment="1" applyProtection="1">
      <alignment vertical="center"/>
      <protection hidden="1"/>
    </xf>
    <xf numFmtId="0" fontId="0" fillId="5" borderId="22" xfId="0" applyFill="1" applyBorder="1" applyAlignment="1" applyProtection="1">
      <alignment vertical="center" wrapText="1"/>
      <protection hidden="1"/>
    </xf>
    <xf numFmtId="0" fontId="0" fillId="0" borderId="1" xfId="0" applyBorder="1" applyAlignment="1" applyProtection="1">
      <alignment vertical="center" wrapText="1"/>
      <protection hidden="1"/>
    </xf>
    <xf numFmtId="176" fontId="0" fillId="0" borderId="21" xfId="0" applyNumberFormat="1" applyFill="1" applyBorder="1" applyAlignment="1" applyProtection="1">
      <alignment horizontal="right" vertical="center"/>
      <protection locked="0"/>
    </xf>
    <xf numFmtId="176" fontId="0" fillId="0" borderId="69" xfId="0" applyNumberFormat="1" applyFill="1" applyBorder="1" applyAlignment="1" applyProtection="1">
      <alignment horizontal="right" vertical="center"/>
      <protection locked="0"/>
    </xf>
    <xf numFmtId="0" fontId="0" fillId="0" borderId="22" xfId="0" applyBorder="1" applyAlignment="1" applyProtection="1">
      <alignment horizontal="right" vertical="center"/>
      <protection locked="0"/>
    </xf>
    <xf numFmtId="176" fontId="0" fillId="0" borderId="22" xfId="0" applyNumberFormat="1" applyFill="1" applyBorder="1" applyAlignment="1" applyProtection="1">
      <alignment horizontal="right" vertical="center"/>
      <protection locked="0"/>
    </xf>
    <xf numFmtId="0" fontId="0" fillId="0" borderId="17" xfId="0" applyBorder="1" applyAlignment="1" applyProtection="1">
      <alignment horizontal="right" vertical="center"/>
      <protection locked="0"/>
    </xf>
    <xf numFmtId="176" fontId="0" fillId="0" borderId="58" xfId="0" applyNumberFormat="1" applyFill="1" applyBorder="1" applyAlignment="1" applyProtection="1">
      <alignment horizontal="right" vertical="center"/>
      <protection locked="0"/>
    </xf>
    <xf numFmtId="176" fontId="21" fillId="5" borderId="6" xfId="0" applyNumberFormat="1" applyFont="1" applyFill="1" applyBorder="1" applyAlignment="1" applyProtection="1">
      <alignment vertical="center"/>
      <protection hidden="1"/>
    </xf>
    <xf numFmtId="0" fontId="21" fillId="5" borderId="10" xfId="0" applyNumberFormat="1" applyFont="1" applyFill="1" applyBorder="1" applyAlignment="1" applyProtection="1">
      <alignment vertical="center"/>
      <protection hidden="1"/>
    </xf>
    <xf numFmtId="0" fontId="21" fillId="5" borderId="10" xfId="0" applyFont="1" applyFill="1" applyBorder="1" applyAlignment="1" applyProtection="1">
      <alignment vertical="center"/>
      <protection hidden="1"/>
    </xf>
    <xf numFmtId="0" fontId="0" fillId="5" borderId="50" xfId="0" applyFill="1" applyBorder="1" applyAlignment="1" applyProtection="1">
      <alignment vertical="center" wrapText="1"/>
      <protection hidden="1"/>
    </xf>
    <xf numFmtId="0" fontId="0" fillId="5" borderId="102" xfId="0" applyFill="1" applyBorder="1" applyAlignment="1" applyProtection="1">
      <alignment horizontal="center" vertical="center" wrapText="1"/>
      <protection hidden="1"/>
    </xf>
    <xf numFmtId="0" fontId="0" fillId="5" borderId="103" xfId="0" applyFill="1" applyBorder="1" applyAlignment="1" applyProtection="1">
      <alignment horizontal="center" vertical="center" wrapText="1"/>
      <protection hidden="1"/>
    </xf>
    <xf numFmtId="0" fontId="0" fillId="5" borderId="104" xfId="0" applyFill="1" applyBorder="1" applyAlignment="1" applyProtection="1">
      <alignment horizontal="center" vertical="center" wrapText="1"/>
      <protection hidden="1"/>
    </xf>
    <xf numFmtId="4" fontId="0" fillId="0" borderId="17" xfId="0" applyNumberFormat="1" applyBorder="1" applyAlignment="1" applyProtection="1">
      <alignment vertical="center"/>
      <protection locked="0"/>
    </xf>
    <xf numFmtId="4" fontId="0" fillId="0" borderId="21" xfId="0" applyNumberFormat="1" applyBorder="1" applyAlignment="1" applyProtection="1">
      <alignment vertical="center"/>
      <protection locked="0"/>
    </xf>
    <xf numFmtId="0" fontId="0" fillId="7" borderId="22" xfId="0" applyFill="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0" fontId="0" fillId="7" borderId="112" xfId="0" applyFill="1" applyBorder="1" applyAlignment="1" applyProtection="1">
      <alignment horizontal="center" vertical="center"/>
      <protection hidden="1"/>
    </xf>
    <xf numFmtId="0" fontId="0" fillId="16" borderId="1" xfId="0" applyFill="1" applyBorder="1" applyAlignment="1" applyProtection="1">
      <alignment vertical="center"/>
      <protection locked="0"/>
    </xf>
    <xf numFmtId="0" fontId="1" fillId="0" borderId="0" xfId="0" applyFont="1" applyAlignment="1" applyProtection="1">
      <alignment horizontal="center" vertical="center"/>
      <protection hidden="1"/>
    </xf>
    <xf numFmtId="0" fontId="0" fillId="5" borderId="41" xfId="0" applyFill="1" applyBorder="1" applyAlignment="1" applyProtection="1">
      <alignment vertical="center" wrapText="1"/>
      <protection hidden="1"/>
    </xf>
    <xf numFmtId="0" fontId="0" fillId="0" borderId="134" xfId="0" applyBorder="1" applyAlignment="1">
      <alignment vertical="center"/>
    </xf>
    <xf numFmtId="0" fontId="0" fillId="16" borderId="63" xfId="0" applyFill="1" applyBorder="1" applyAlignment="1" applyProtection="1">
      <alignment vertical="center"/>
      <protection locked="0"/>
    </xf>
    <xf numFmtId="0" fontId="0" fillId="16" borderId="60" xfId="0" applyFill="1" applyBorder="1" applyAlignment="1" applyProtection="1">
      <alignment vertical="center"/>
      <protection locked="0"/>
    </xf>
    <xf numFmtId="0" fontId="0" fillId="5" borderId="70" xfId="0" applyFill="1" applyBorder="1" applyAlignment="1" applyProtection="1">
      <alignment vertical="center"/>
      <protection hidden="1"/>
    </xf>
    <xf numFmtId="0" fontId="0" fillId="0" borderId="3" xfId="0" applyBorder="1" applyAlignment="1">
      <alignment vertical="center"/>
    </xf>
    <xf numFmtId="0" fontId="0" fillId="0" borderId="130" xfId="0" applyBorder="1" applyAlignment="1">
      <alignment horizontal="center" vertical="center" wrapText="1"/>
    </xf>
    <xf numFmtId="0" fontId="0" fillId="0" borderId="29" xfId="0" applyBorder="1" applyAlignment="1">
      <alignment horizontal="center" vertical="center" wrapText="1"/>
    </xf>
    <xf numFmtId="0" fontId="0" fillId="16" borderId="24" xfId="0" applyFill="1" applyBorder="1" applyAlignment="1" applyProtection="1">
      <alignment horizontal="left" vertical="center"/>
      <protection locked="0"/>
    </xf>
    <xf numFmtId="0" fontId="0" fillId="16" borderId="27" xfId="0" applyFill="1" applyBorder="1" applyAlignment="1" applyProtection="1">
      <alignment horizontal="left" vertical="center"/>
      <protection locked="0"/>
    </xf>
    <xf numFmtId="0" fontId="0" fillId="5" borderId="25" xfId="0" applyFill="1" applyBorder="1" applyAlignment="1">
      <alignment horizontal="center" vertical="center"/>
    </xf>
    <xf numFmtId="0" fontId="0" fillId="5" borderId="27" xfId="0" applyFill="1" applyBorder="1" applyAlignment="1">
      <alignment horizontal="center" vertical="center"/>
    </xf>
    <xf numFmtId="0" fontId="0" fillId="5" borderId="64" xfId="0" applyFill="1" applyBorder="1" applyAlignment="1" applyProtection="1">
      <alignment horizontal="center" vertical="center"/>
      <protection hidden="1"/>
    </xf>
    <xf numFmtId="0" fontId="0" fillId="0" borderId="117" xfId="0" applyBorder="1" applyAlignment="1">
      <alignment horizontal="center" vertical="center"/>
    </xf>
    <xf numFmtId="0" fontId="0" fillId="16" borderId="24" xfId="0" applyFill="1" applyBorder="1" applyAlignment="1" applyProtection="1">
      <alignment vertical="center"/>
      <protection locked="0"/>
    </xf>
    <xf numFmtId="0" fontId="0" fillId="16" borderId="27" xfId="0" applyFill="1" applyBorder="1" applyAlignment="1" applyProtection="1">
      <alignment vertical="center"/>
      <protection locked="0"/>
    </xf>
    <xf numFmtId="0" fontId="0" fillId="7" borderId="61" xfId="0" applyFill="1" applyBorder="1" applyAlignment="1" applyProtection="1">
      <alignment horizontal="center" vertical="center"/>
      <protection hidden="1"/>
    </xf>
    <xf numFmtId="0" fontId="0" fillId="7" borderId="46" xfId="0" applyFill="1" applyBorder="1" applyAlignment="1" applyProtection="1">
      <alignment horizontal="center" vertical="center"/>
      <protection hidden="1"/>
    </xf>
    <xf numFmtId="0" fontId="0" fillId="5" borderId="60" xfId="0" applyFill="1" applyBorder="1" applyAlignment="1" applyProtection="1">
      <alignment horizontal="center" vertical="center"/>
      <protection hidden="1"/>
    </xf>
    <xf numFmtId="0" fontId="0" fillId="5" borderId="59" xfId="0" applyFill="1" applyBorder="1" applyAlignment="1" applyProtection="1">
      <alignment horizontal="center" vertical="center"/>
      <protection hidden="1"/>
    </xf>
    <xf numFmtId="0" fontId="0" fillId="5" borderId="47" xfId="0" applyFill="1" applyBorder="1" applyAlignment="1" applyProtection="1">
      <alignment horizontal="center" vertical="center"/>
      <protection hidden="1"/>
    </xf>
    <xf numFmtId="0" fontId="0" fillId="5" borderId="48" xfId="0" applyFill="1" applyBorder="1" applyAlignment="1" applyProtection="1">
      <alignment horizontal="center" vertical="center"/>
      <protection hidden="1"/>
    </xf>
    <xf numFmtId="0" fontId="0" fillId="7" borderId="6" xfId="0" applyFill="1" applyBorder="1" applyAlignment="1" applyProtection="1">
      <alignment horizontal="center" vertical="center"/>
      <protection hidden="1"/>
    </xf>
    <xf numFmtId="0" fontId="0" fillId="7" borderId="77" xfId="0" applyFill="1" applyBorder="1" applyAlignment="1" applyProtection="1">
      <alignment horizontal="center" vertical="center"/>
      <protection hidden="1"/>
    </xf>
    <xf numFmtId="0" fontId="0" fillId="7" borderId="62" xfId="0" applyFill="1" applyBorder="1" applyAlignment="1" applyProtection="1">
      <alignment horizontal="center" vertical="center"/>
      <protection hidden="1"/>
    </xf>
    <xf numFmtId="0" fontId="0" fillId="7" borderId="65" xfId="0" applyFill="1" applyBorder="1" applyAlignment="1" applyProtection="1">
      <alignment horizontal="center" vertical="center"/>
      <protection hidden="1"/>
    </xf>
    <xf numFmtId="0" fontId="0" fillId="5" borderId="4" xfId="0" applyFill="1" applyBorder="1" applyAlignment="1" applyProtection="1">
      <alignment vertical="center"/>
      <protection hidden="1"/>
    </xf>
    <xf numFmtId="0" fontId="0" fillId="0" borderId="46" xfId="0" applyBorder="1" applyAlignment="1" applyProtection="1">
      <alignment vertical="center"/>
      <protection hidden="1"/>
    </xf>
    <xf numFmtId="0" fontId="0" fillId="0" borderId="29" xfId="0" applyBorder="1" applyAlignment="1" applyProtection="1">
      <alignment vertical="center" wrapText="1"/>
      <protection hidden="1"/>
    </xf>
    <xf numFmtId="0" fontId="1" fillId="5" borderId="38" xfId="0" applyNumberFormat="1" applyFont="1" applyFill="1" applyBorder="1" applyAlignment="1" applyProtection="1">
      <alignment horizontal="center" vertical="center" wrapText="1"/>
      <protection hidden="1"/>
    </xf>
    <xf numFmtId="0" fontId="0" fillId="0" borderId="76" xfId="0" applyBorder="1" applyAlignment="1" applyProtection="1">
      <alignment vertical="center" wrapText="1"/>
      <protection hidden="1"/>
    </xf>
    <xf numFmtId="0" fontId="0" fillId="0" borderId="37" xfId="0" applyBorder="1" applyAlignment="1" applyProtection="1">
      <alignment vertical="center" wrapText="1"/>
      <protection hidden="1"/>
    </xf>
    <xf numFmtId="0" fontId="0" fillId="5" borderId="2" xfId="0" applyFill="1" applyBorder="1" applyAlignment="1" applyProtection="1">
      <alignment vertical="center"/>
      <protection hidden="1"/>
    </xf>
    <xf numFmtId="0" fontId="0" fillId="5" borderId="29" xfId="0" applyFill="1" applyBorder="1" applyAlignment="1" applyProtection="1">
      <alignment vertical="center"/>
      <protection hidden="1"/>
    </xf>
    <xf numFmtId="0" fontId="0" fillId="5" borderId="11" xfId="0" applyFill="1" applyBorder="1" applyAlignment="1" applyProtection="1">
      <alignment horizontal="center" vertical="center"/>
      <protection hidden="1"/>
    </xf>
    <xf numFmtId="0" fontId="9" fillId="7" borderId="28" xfId="0" applyFont="1" applyFill="1" applyBorder="1" applyAlignment="1" applyProtection="1">
      <alignment horizontal="center" vertical="center"/>
      <protection hidden="1"/>
    </xf>
    <xf numFmtId="0" fontId="0" fillId="7" borderId="30" xfId="0" applyFill="1" applyBorder="1" applyAlignment="1" applyProtection="1">
      <alignment horizontal="center" vertical="center"/>
      <protection hidden="1"/>
    </xf>
    <xf numFmtId="0" fontId="0" fillId="7" borderId="1" xfId="0" applyFill="1" applyBorder="1" applyAlignment="1" applyProtection="1">
      <alignment horizontal="center" vertical="center"/>
      <protection hidden="1"/>
    </xf>
    <xf numFmtId="0" fontId="0" fillId="7" borderId="21" xfId="0" applyFill="1" applyBorder="1" applyAlignment="1" applyProtection="1">
      <alignment horizontal="center" vertical="center"/>
      <protection hidden="1"/>
    </xf>
    <xf numFmtId="0" fontId="9" fillId="7" borderId="23" xfId="0" applyFont="1" applyFill="1" applyBorder="1" applyAlignment="1" applyProtection="1">
      <alignment horizontal="center" vertical="center"/>
      <protection hidden="1"/>
    </xf>
    <xf numFmtId="4" fontId="0" fillId="0" borderId="20" xfId="0" applyNumberFormat="1" applyBorder="1" applyAlignment="1" applyProtection="1">
      <alignment vertical="center"/>
      <protection locked="0"/>
    </xf>
    <xf numFmtId="4" fontId="0" fillId="0" borderId="138" xfId="0" applyNumberFormat="1" applyBorder="1" applyAlignment="1" applyProtection="1">
      <alignment vertical="center"/>
      <protection locked="0"/>
    </xf>
    <xf numFmtId="0" fontId="0" fillId="16" borderId="20" xfId="0" applyFill="1" applyBorder="1" applyAlignment="1" applyProtection="1">
      <alignment vertical="center"/>
      <protection locked="0"/>
    </xf>
    <xf numFmtId="0" fontId="0" fillId="16" borderId="138" xfId="0" applyFill="1" applyBorder="1" applyAlignment="1" applyProtection="1">
      <alignment vertical="center"/>
      <protection locked="0"/>
    </xf>
    <xf numFmtId="0" fontId="0" fillId="8" borderId="139" xfId="0" applyFill="1" applyBorder="1" applyAlignment="1" applyProtection="1">
      <alignment horizontal="center" vertical="center"/>
      <protection hidden="1"/>
    </xf>
    <xf numFmtId="0" fontId="0" fillId="8" borderId="140" xfId="0" applyFill="1" applyBorder="1" applyAlignment="1" applyProtection="1">
      <alignment horizontal="center" vertical="center"/>
      <protection hidden="1"/>
    </xf>
    <xf numFmtId="0" fontId="0" fillId="16" borderId="69" xfId="0" applyFill="1" applyBorder="1" applyAlignment="1" applyProtection="1">
      <alignment vertical="center"/>
      <protection locked="0"/>
    </xf>
    <xf numFmtId="0" fontId="0" fillId="0" borderId="2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176" fontId="0" fillId="0" borderId="112" xfId="0" applyNumberFormat="1" applyBorder="1" applyAlignment="1" applyProtection="1">
      <alignment vertical="center"/>
      <protection locked="0"/>
    </xf>
    <xf numFmtId="176" fontId="0" fillId="0" borderId="69" xfId="0" applyNumberFormat="1" applyBorder="1" applyAlignment="1" applyProtection="1">
      <alignment vertical="center"/>
      <protection locked="0"/>
    </xf>
    <xf numFmtId="176" fontId="0" fillId="0" borderId="21" xfId="0" applyNumberFormat="1" applyBorder="1" applyAlignment="1" applyProtection="1">
      <alignment vertical="center"/>
      <protection locked="0"/>
    </xf>
    <xf numFmtId="0" fontId="0" fillId="16" borderId="22" xfId="0" applyFill="1" applyBorder="1" applyAlignment="1" applyProtection="1">
      <alignment vertical="center"/>
      <protection locked="0"/>
    </xf>
    <xf numFmtId="176" fontId="0" fillId="5" borderId="20" xfId="0" applyNumberFormat="1" applyFill="1" applyBorder="1" applyAlignment="1" applyProtection="1">
      <alignment vertical="center"/>
      <protection hidden="1"/>
    </xf>
    <xf numFmtId="0" fontId="0" fillId="5" borderId="20" xfId="0" applyFill="1" applyBorder="1" applyAlignment="1" applyProtection="1">
      <alignment vertical="center"/>
      <protection hidden="1"/>
    </xf>
    <xf numFmtId="0" fontId="0" fillId="5" borderId="138" xfId="0" applyFill="1" applyBorder="1" applyAlignment="1" applyProtection="1">
      <alignment vertical="center"/>
      <protection hidden="1"/>
    </xf>
    <xf numFmtId="0" fontId="0" fillId="16" borderId="58" xfId="0" applyFill="1" applyBorder="1" applyAlignment="1" applyProtection="1">
      <alignment vertical="center"/>
      <protection locked="0"/>
    </xf>
    <xf numFmtId="176" fontId="0" fillId="5" borderId="84" xfId="0" applyNumberFormat="1" applyFill="1" applyBorder="1" applyAlignment="1" applyProtection="1">
      <alignment horizontal="center" vertical="center"/>
      <protection hidden="1"/>
    </xf>
    <xf numFmtId="0" fontId="0" fillId="0" borderId="85" xfId="0" applyBorder="1" applyAlignment="1">
      <alignment vertical="center"/>
    </xf>
    <xf numFmtId="176" fontId="0" fillId="5" borderId="58" xfId="0" applyNumberFormat="1" applyFill="1" applyBorder="1" applyAlignment="1" applyProtection="1">
      <alignment vertical="center"/>
      <protection hidden="1"/>
    </xf>
    <xf numFmtId="0" fontId="0" fillId="5" borderId="58" xfId="0" applyFill="1" applyBorder="1" applyAlignment="1" applyProtection="1">
      <alignment vertical="center"/>
      <protection hidden="1"/>
    </xf>
    <xf numFmtId="4" fontId="0" fillId="0" borderId="58" xfId="0" applyNumberFormat="1" applyBorder="1" applyAlignment="1" applyProtection="1">
      <alignment vertical="center"/>
      <protection locked="0"/>
    </xf>
    <xf numFmtId="0" fontId="0" fillId="5" borderId="50" xfId="0" applyFill="1" applyBorder="1" applyAlignment="1" applyProtection="1">
      <alignment horizontal="center" vertical="center" wrapText="1"/>
      <protection hidden="1"/>
    </xf>
    <xf numFmtId="0" fontId="0" fillId="4" borderId="1" xfId="0" applyFill="1" applyBorder="1" applyAlignment="1" applyProtection="1">
      <alignment horizontal="left" vertical="center"/>
      <protection hidden="1"/>
    </xf>
    <xf numFmtId="0" fontId="0" fillId="5" borderId="73" xfId="0" applyFill="1" applyBorder="1" applyAlignment="1" applyProtection="1">
      <alignment horizontal="center" vertical="center" wrapText="1"/>
      <protection hidden="1"/>
    </xf>
    <xf numFmtId="0" fontId="0" fillId="5" borderId="74" xfId="0" applyFill="1" applyBorder="1" applyAlignment="1" applyProtection="1">
      <alignment horizontal="center" vertical="center" wrapText="1"/>
      <protection hidden="1"/>
    </xf>
    <xf numFmtId="0" fontId="0" fillId="0" borderId="59" xfId="0" applyBorder="1" applyAlignment="1">
      <alignment vertical="center"/>
    </xf>
    <xf numFmtId="0" fontId="0" fillId="0" borderId="47" xfId="0" applyBorder="1" applyAlignment="1">
      <alignment vertical="center"/>
    </xf>
    <xf numFmtId="4" fontId="0" fillId="5" borderId="63" xfId="0" applyNumberFormat="1" applyFill="1" applyBorder="1" applyAlignment="1" applyProtection="1">
      <alignment vertical="center"/>
      <protection hidden="1"/>
    </xf>
    <xf numFmtId="0" fontId="0" fillId="5" borderId="38" xfId="0" quotePrefix="1" applyFill="1" applyBorder="1" applyAlignment="1" applyProtection="1">
      <alignment horizontal="center" vertical="center"/>
      <protection hidden="1"/>
    </xf>
    <xf numFmtId="0" fontId="0" fillId="5" borderId="112" xfId="0" applyFill="1" applyBorder="1" applyAlignment="1" applyProtection="1">
      <alignment horizontal="center" vertical="center"/>
      <protection hidden="1"/>
    </xf>
    <xf numFmtId="0" fontId="0" fillId="5" borderId="11" xfId="0" applyFill="1" applyBorder="1" applyAlignment="1" applyProtection="1">
      <alignment vertical="center" wrapText="1"/>
      <protection hidden="1"/>
    </xf>
    <xf numFmtId="0" fontId="0" fillId="5" borderId="4" xfId="0" applyFill="1" applyBorder="1" applyAlignment="1" applyProtection="1">
      <alignment vertical="center" wrapText="1"/>
      <protection hidden="1"/>
    </xf>
    <xf numFmtId="0" fontId="0" fillId="0" borderId="112" xfId="0" applyBorder="1" applyAlignment="1">
      <alignment vertical="center"/>
    </xf>
    <xf numFmtId="0" fontId="0" fillId="5" borderId="16" xfId="0" applyFill="1" applyBorder="1" applyAlignment="1" applyProtection="1">
      <alignment horizontal="center" vertical="center"/>
      <protection hidden="1"/>
    </xf>
    <xf numFmtId="0" fontId="0" fillId="5" borderId="3" xfId="0" applyFill="1" applyBorder="1" applyAlignment="1" applyProtection="1">
      <alignment vertical="center"/>
      <protection hidden="1"/>
    </xf>
    <xf numFmtId="0" fontId="1" fillId="5" borderId="22" xfId="0" applyNumberFormat="1" applyFont="1" applyFill="1" applyBorder="1" applyAlignment="1" applyProtection="1">
      <alignment horizontal="center" vertical="center" wrapText="1"/>
      <protection hidden="1"/>
    </xf>
    <xf numFmtId="0" fontId="1" fillId="5" borderId="1" xfId="0" applyNumberFormat="1" applyFont="1" applyFill="1" applyBorder="1" applyAlignment="1" applyProtection="1">
      <alignment horizontal="center" vertical="center" wrapText="1"/>
      <protection hidden="1"/>
    </xf>
    <xf numFmtId="0" fontId="1" fillId="5" borderId="21" xfId="0" applyNumberFormat="1" applyFont="1" applyFill="1" applyBorder="1" applyAlignment="1" applyProtection="1">
      <alignment horizontal="center" vertical="center" wrapText="1"/>
      <protection hidden="1"/>
    </xf>
    <xf numFmtId="0" fontId="0" fillId="5" borderId="74" xfId="0" applyFill="1" applyBorder="1" applyAlignment="1" applyProtection="1">
      <alignment horizontal="center" vertical="center"/>
      <protection hidden="1"/>
    </xf>
    <xf numFmtId="0" fontId="0" fillId="5" borderId="74" xfId="0" applyFill="1" applyBorder="1" applyAlignment="1" applyProtection="1">
      <alignment vertical="center"/>
      <protection hidden="1"/>
    </xf>
    <xf numFmtId="0" fontId="0" fillId="5" borderId="33" xfId="0" applyFill="1" applyBorder="1" applyAlignment="1" applyProtection="1">
      <alignment vertical="center"/>
      <protection hidden="1"/>
    </xf>
    <xf numFmtId="0" fontId="0" fillId="5" borderId="39" xfId="0" applyFill="1" applyBorder="1" applyAlignment="1" applyProtection="1">
      <alignment vertical="center"/>
      <protection hidden="1"/>
    </xf>
    <xf numFmtId="0" fontId="0" fillId="5" borderId="12" xfId="0" applyFill="1" applyBorder="1" applyAlignment="1" applyProtection="1">
      <alignment vertical="center" wrapText="1"/>
      <protection hidden="1"/>
    </xf>
    <xf numFmtId="0" fontId="0" fillId="5" borderId="3" xfId="0" applyFill="1" applyBorder="1" applyAlignment="1" applyProtection="1">
      <alignment vertical="center" wrapText="1"/>
      <protection hidden="1"/>
    </xf>
    <xf numFmtId="4" fontId="0" fillId="16" borderId="61" xfId="0" applyNumberFormat="1" applyFill="1" applyBorder="1" applyAlignment="1" applyProtection="1">
      <alignment vertical="center"/>
      <protection locked="0"/>
    </xf>
    <xf numFmtId="4" fontId="0" fillId="16" borderId="6" xfId="0" applyNumberFormat="1" applyFill="1" applyBorder="1" applyAlignment="1" applyProtection="1">
      <alignment vertical="center"/>
      <protection locked="0"/>
    </xf>
    <xf numFmtId="0" fontId="0" fillId="5" borderId="40" xfId="0" applyFill="1" applyBorder="1" applyAlignment="1" applyProtection="1">
      <alignment vertical="center" wrapText="1"/>
      <protection hidden="1"/>
    </xf>
    <xf numFmtId="0" fontId="0" fillId="5" borderId="60" xfId="0" applyFill="1" applyBorder="1" applyAlignment="1" applyProtection="1">
      <alignment vertical="center" wrapText="1"/>
      <protection hidden="1"/>
    </xf>
    <xf numFmtId="0" fontId="0" fillId="5" borderId="59" xfId="0" applyFill="1" applyBorder="1" applyAlignment="1" applyProtection="1">
      <alignment vertical="center" wrapText="1"/>
      <protection hidden="1"/>
    </xf>
    <xf numFmtId="0" fontId="0" fillId="5" borderId="47" xfId="0" applyFill="1" applyBorder="1" applyAlignment="1" applyProtection="1">
      <alignment vertical="center" wrapText="1"/>
      <protection hidden="1"/>
    </xf>
    <xf numFmtId="0" fontId="0" fillId="5" borderId="42" xfId="0" applyFill="1" applyBorder="1" applyAlignment="1" applyProtection="1">
      <alignment vertical="center" wrapText="1"/>
      <protection hidden="1"/>
    </xf>
    <xf numFmtId="0" fontId="0" fillId="5" borderId="48" xfId="0" applyFill="1" applyBorder="1" applyAlignment="1" applyProtection="1">
      <alignment vertical="center" wrapText="1"/>
      <protection hidden="1"/>
    </xf>
    <xf numFmtId="176" fontId="0" fillId="5" borderId="17" xfId="0" applyNumberFormat="1" applyFill="1" applyBorder="1" applyAlignment="1" applyProtection="1">
      <alignment vertical="center"/>
      <protection hidden="1"/>
    </xf>
    <xf numFmtId="176" fontId="0" fillId="5" borderId="112" xfId="0" applyNumberFormat="1" applyFill="1" applyBorder="1" applyAlignment="1" applyProtection="1">
      <alignment vertical="center"/>
      <protection hidden="1"/>
    </xf>
    <xf numFmtId="176" fontId="0" fillId="5" borderId="21" xfId="0" applyNumberFormat="1" applyFill="1" applyBorder="1" applyAlignment="1" applyProtection="1">
      <alignment vertical="center"/>
      <protection hidden="1"/>
    </xf>
    <xf numFmtId="176" fontId="0" fillId="5" borderId="69" xfId="0" applyNumberFormat="1" applyFill="1" applyBorder="1" applyAlignment="1" applyProtection="1">
      <alignment vertical="center"/>
      <protection hidden="1"/>
    </xf>
    <xf numFmtId="176" fontId="0" fillId="0" borderId="17" xfId="0" applyNumberFormat="1" applyBorder="1" applyAlignment="1" applyProtection="1">
      <alignment vertical="center"/>
      <protection locked="0"/>
    </xf>
    <xf numFmtId="0" fontId="25" fillId="5" borderId="124" xfId="0" applyFont="1" applyFill="1" applyBorder="1" applyAlignment="1" applyProtection="1">
      <alignment horizontal="center" vertical="center"/>
      <protection hidden="1"/>
    </xf>
    <xf numFmtId="0" fontId="0" fillId="5" borderId="69" xfId="0" applyFill="1" applyBorder="1" applyAlignment="1" applyProtection="1">
      <alignment vertical="center"/>
      <protection hidden="1"/>
    </xf>
    <xf numFmtId="176" fontId="0" fillId="5" borderId="22" xfId="0" applyNumberFormat="1" applyFill="1" applyBorder="1" applyAlignment="1" applyProtection="1">
      <alignment vertical="center"/>
      <protection hidden="1"/>
    </xf>
    <xf numFmtId="176" fontId="0" fillId="0" borderId="58" xfId="0" applyNumberFormat="1" applyBorder="1" applyAlignment="1" applyProtection="1">
      <alignment vertical="center"/>
      <protection locked="0"/>
    </xf>
    <xf numFmtId="0" fontId="0" fillId="5" borderId="58" xfId="0" applyFill="1" applyBorder="1" applyAlignment="1" applyProtection="1">
      <alignment horizontal="center" vertical="center"/>
      <protection hidden="1"/>
    </xf>
    <xf numFmtId="0" fontId="0" fillId="5" borderId="138" xfId="0" applyFill="1" applyBorder="1" applyAlignment="1" applyProtection="1">
      <alignment horizontal="center" vertical="center"/>
      <protection hidden="1"/>
    </xf>
    <xf numFmtId="0" fontId="0" fillId="8" borderId="45" xfId="0" applyFill="1" applyBorder="1" applyAlignment="1" applyProtection="1">
      <alignment vertical="center"/>
      <protection hidden="1"/>
    </xf>
    <xf numFmtId="0" fontId="0" fillId="5" borderId="117" xfId="0" applyFill="1" applyBorder="1" applyAlignment="1" applyProtection="1">
      <alignment vertical="center"/>
      <protection hidden="1"/>
    </xf>
    <xf numFmtId="0" fontId="0" fillId="0" borderId="117" xfId="0" applyBorder="1" applyAlignment="1" applyProtection="1">
      <alignment vertical="center"/>
      <protection hidden="1"/>
    </xf>
    <xf numFmtId="0" fontId="0" fillId="0" borderId="65" xfId="0" applyBorder="1" applyAlignment="1" applyProtection="1">
      <alignment vertical="center"/>
      <protection hidden="1"/>
    </xf>
    <xf numFmtId="4" fontId="0" fillId="5" borderId="20" xfId="0" applyNumberFormat="1" applyFill="1" applyBorder="1" applyAlignment="1" applyProtection="1">
      <alignment horizontal="right" vertical="center"/>
      <protection hidden="1"/>
    </xf>
    <xf numFmtId="4" fontId="0" fillId="5" borderId="138" xfId="0" applyNumberFormat="1" applyFill="1" applyBorder="1" applyAlignment="1" applyProtection="1">
      <alignment horizontal="right" vertical="center"/>
      <protection hidden="1"/>
    </xf>
    <xf numFmtId="4" fontId="0" fillId="5" borderId="58" xfId="0" applyNumberFormat="1" applyFill="1" applyBorder="1" applyAlignment="1" applyProtection="1">
      <alignment horizontal="right" vertical="center"/>
      <protection hidden="1"/>
    </xf>
    <xf numFmtId="0" fontId="0" fillId="0" borderId="21" xfId="0" applyBorder="1" applyAlignment="1" applyProtection="1">
      <alignment horizontal="right" vertical="center"/>
      <protection hidden="1"/>
    </xf>
    <xf numFmtId="0" fontId="0" fillId="7" borderId="92" xfId="0" applyFill="1" applyBorder="1" applyAlignment="1" applyProtection="1">
      <alignment horizontal="center" vertical="center"/>
      <protection hidden="1"/>
    </xf>
    <xf numFmtId="0" fontId="0" fillId="0" borderId="143" xfId="0" applyBorder="1" applyAlignment="1" applyProtection="1">
      <alignment horizontal="center" vertical="center"/>
      <protection hidden="1"/>
    </xf>
    <xf numFmtId="0" fontId="0" fillId="7" borderId="98" xfId="0" applyFill="1" applyBorder="1" applyAlignment="1" applyProtection="1">
      <alignment horizontal="center" vertical="center"/>
      <protection hidden="1"/>
    </xf>
    <xf numFmtId="0" fontId="0" fillId="4" borderId="71" xfId="0" applyFill="1" applyBorder="1" applyAlignment="1" applyProtection="1">
      <alignment vertical="center"/>
      <protection hidden="1"/>
    </xf>
    <xf numFmtId="0" fontId="0" fillId="4" borderId="130" xfId="0" applyFill="1" applyBorder="1" applyAlignment="1" applyProtection="1">
      <alignment vertical="center"/>
      <protection hidden="1"/>
    </xf>
    <xf numFmtId="0" fontId="0" fillId="4" borderId="121" xfId="0" applyFill="1" applyBorder="1" applyAlignment="1" applyProtection="1">
      <alignment vertical="center"/>
      <protection hidden="1"/>
    </xf>
    <xf numFmtId="176" fontId="0" fillId="0" borderId="112" xfId="0" applyNumberFormat="1" applyFill="1" applyBorder="1" applyAlignment="1" applyProtection="1">
      <alignment horizontal="right" vertical="center"/>
      <protection locked="0"/>
    </xf>
    <xf numFmtId="4" fontId="0" fillId="7" borderId="112" xfId="0" applyNumberFormat="1" applyFill="1" applyBorder="1" applyAlignment="1" applyProtection="1">
      <alignment horizontal="right" vertical="center"/>
      <protection hidden="1"/>
    </xf>
    <xf numFmtId="0" fontId="0" fillId="0" borderId="20" xfId="0" applyBorder="1" applyAlignment="1" applyProtection="1">
      <alignment horizontal="right" vertical="center"/>
      <protection hidden="1"/>
    </xf>
    <xf numFmtId="4" fontId="0" fillId="0" borderId="112" xfId="0" applyNumberFormat="1" applyBorder="1" applyAlignment="1" applyProtection="1">
      <alignment vertical="center"/>
      <protection locked="0"/>
    </xf>
    <xf numFmtId="0" fontId="0" fillId="9" borderId="112" xfId="0" applyFill="1" applyBorder="1" applyAlignment="1" applyProtection="1">
      <alignment vertical="center"/>
      <protection locked="0"/>
    </xf>
    <xf numFmtId="4" fontId="0" fillId="5" borderId="112" xfId="0" applyNumberFormat="1" applyFill="1" applyBorder="1" applyAlignment="1" applyProtection="1">
      <alignment vertical="center"/>
      <protection hidden="1"/>
    </xf>
    <xf numFmtId="0" fontId="0" fillId="0" borderId="20" xfId="0" applyBorder="1" applyAlignment="1" applyProtection="1">
      <alignment vertical="center"/>
      <protection hidden="1"/>
    </xf>
    <xf numFmtId="176" fontId="0" fillId="5" borderId="95" xfId="0" applyNumberFormat="1" applyFill="1" applyBorder="1" applyAlignment="1" applyProtection="1">
      <alignment horizontal="center" vertical="center"/>
      <protection hidden="1"/>
    </xf>
    <xf numFmtId="0" fontId="0" fillId="0" borderId="52" xfId="0" applyBorder="1" applyAlignment="1">
      <alignment vertical="center"/>
    </xf>
    <xf numFmtId="0" fontId="0" fillId="0" borderId="74" xfId="0" applyBorder="1" applyAlignment="1">
      <alignment horizontal="center" vertical="center" wrapText="1"/>
    </xf>
    <xf numFmtId="0" fontId="0" fillId="0" borderId="33" xfId="0" applyBorder="1" applyAlignment="1">
      <alignment horizontal="center" vertical="center" wrapText="1"/>
    </xf>
    <xf numFmtId="176" fontId="0" fillId="16" borderId="71" xfId="0" applyNumberFormat="1" applyFill="1" applyBorder="1" applyAlignment="1" applyProtection="1">
      <alignment vertical="center"/>
      <protection locked="0"/>
    </xf>
    <xf numFmtId="0" fontId="0" fillId="16" borderId="17" xfId="0" applyFill="1" applyBorder="1" applyAlignment="1" applyProtection="1">
      <alignment vertical="center"/>
      <protection locked="0"/>
    </xf>
    <xf numFmtId="0" fontId="0" fillId="16" borderId="71" xfId="0" applyFill="1" applyBorder="1" applyAlignment="1" applyProtection="1">
      <alignment vertical="center"/>
      <protection locked="0"/>
    </xf>
    <xf numFmtId="0" fontId="0" fillId="5" borderId="67" xfId="0" applyFill="1" applyBorder="1" applyAlignment="1" applyProtection="1">
      <alignment horizontal="center" vertical="center"/>
      <protection hidden="1"/>
    </xf>
    <xf numFmtId="0" fontId="0" fillId="0" borderId="39" xfId="0" applyBorder="1" applyAlignment="1" applyProtection="1">
      <alignment vertical="center"/>
      <protection hidden="1"/>
    </xf>
    <xf numFmtId="0" fontId="0" fillId="16" borderId="39" xfId="0" applyFill="1" applyBorder="1" applyAlignment="1" applyProtection="1">
      <alignment vertical="center"/>
      <protection locked="0"/>
    </xf>
    <xf numFmtId="0" fontId="0" fillId="16" borderId="124" xfId="0" applyFill="1" applyBorder="1" applyAlignment="1" applyProtection="1">
      <alignment vertical="center"/>
      <protection locked="0"/>
    </xf>
    <xf numFmtId="0" fontId="0" fillId="16" borderId="71" xfId="0" applyFill="1" applyBorder="1" applyAlignment="1" applyProtection="1">
      <alignment horizontal="left" vertical="center"/>
      <protection locked="0"/>
    </xf>
    <xf numFmtId="0" fontId="0" fillId="16" borderId="17" xfId="0" applyFill="1" applyBorder="1" applyAlignment="1" applyProtection="1">
      <alignment horizontal="left" vertical="center"/>
      <protection locked="0"/>
    </xf>
    <xf numFmtId="0" fontId="0" fillId="5" borderId="63" xfId="0" applyFill="1" applyBorder="1" applyAlignment="1" applyProtection="1">
      <alignment vertical="center" wrapText="1"/>
      <protection hidden="1"/>
    </xf>
    <xf numFmtId="0" fontId="0" fillId="0" borderId="60" xfId="0" applyBorder="1" applyAlignment="1">
      <alignment vertical="center" wrapText="1"/>
    </xf>
    <xf numFmtId="0" fontId="0" fillId="0" borderId="4" xfId="0" applyBorder="1" applyAlignment="1">
      <alignment vertical="center" wrapText="1"/>
    </xf>
    <xf numFmtId="0" fontId="0" fillId="0" borderId="48" xfId="0" applyBorder="1" applyAlignment="1">
      <alignment vertical="center" wrapText="1"/>
    </xf>
    <xf numFmtId="0" fontId="0" fillId="0" borderId="41" xfId="0" applyBorder="1" applyAlignment="1" applyProtection="1">
      <alignment vertical="center"/>
      <protection hidden="1"/>
    </xf>
    <xf numFmtId="0" fontId="0" fillId="0" borderId="60" xfId="0" applyBorder="1" applyAlignment="1" applyProtection="1">
      <alignment vertical="center"/>
      <protection hidden="1"/>
    </xf>
    <xf numFmtId="0" fontId="0" fillId="0" borderId="37" xfId="0" applyBorder="1" applyAlignment="1">
      <alignment vertical="center" wrapText="1"/>
    </xf>
    <xf numFmtId="0" fontId="1" fillId="5" borderId="121" xfId="0" applyNumberFormat="1" applyFont="1" applyFill="1" applyBorder="1" applyAlignment="1" applyProtection="1">
      <alignment vertical="center"/>
      <protection hidden="1"/>
    </xf>
    <xf numFmtId="184" fontId="0" fillId="5" borderId="121" xfId="0" applyNumberFormat="1" applyFill="1" applyBorder="1" applyAlignment="1" applyProtection="1">
      <alignment horizontal="center" vertical="center"/>
      <protection hidden="1"/>
    </xf>
    <xf numFmtId="0" fontId="0" fillId="5" borderId="6" xfId="0" applyNumberFormat="1" applyFill="1" applyBorder="1" applyAlignment="1" applyProtection="1">
      <alignment vertical="center"/>
      <protection hidden="1"/>
    </xf>
    <xf numFmtId="0" fontId="0" fillId="0" borderId="126" xfId="0" applyBorder="1" applyAlignment="1" applyProtection="1">
      <alignment vertical="center"/>
      <protection hidden="1"/>
    </xf>
    <xf numFmtId="0" fontId="0" fillId="16" borderId="121" xfId="0" applyFill="1" applyBorder="1" applyAlignment="1" applyProtection="1">
      <alignment vertical="center"/>
      <protection locked="0"/>
    </xf>
    <xf numFmtId="0" fontId="0" fillId="0" borderId="32" xfId="0" applyBorder="1" applyAlignment="1" applyProtection="1">
      <alignment vertical="center"/>
      <protection hidden="1"/>
    </xf>
    <xf numFmtId="0" fontId="0" fillId="5" borderId="130" xfId="0" applyFill="1" applyBorder="1" applyAlignment="1" applyProtection="1">
      <alignment vertical="center" wrapText="1"/>
      <protection hidden="1"/>
    </xf>
    <xf numFmtId="0" fontId="1" fillId="5" borderId="17" xfId="0" applyNumberFormat="1" applyFont="1" applyFill="1" applyBorder="1" applyAlignment="1" applyProtection="1">
      <alignment vertical="center"/>
      <protection hidden="1"/>
    </xf>
    <xf numFmtId="0" fontId="0" fillId="0" borderId="2" xfId="0" applyFill="1" applyBorder="1" applyAlignment="1" applyProtection="1">
      <alignment horizontal="center" vertical="center"/>
      <protection locked="0"/>
    </xf>
    <xf numFmtId="176" fontId="0" fillId="0" borderId="2" xfId="0" applyNumberFormat="1" applyBorder="1" applyAlignment="1" applyProtection="1">
      <alignment vertical="center"/>
      <protection locked="0"/>
    </xf>
    <xf numFmtId="0" fontId="1" fillId="5" borderId="2" xfId="0" applyNumberFormat="1" applyFont="1" applyFill="1" applyBorder="1" applyAlignment="1" applyProtection="1">
      <alignment vertical="center"/>
      <protection hidden="1"/>
    </xf>
    <xf numFmtId="0" fontId="0" fillId="5" borderId="121" xfId="0" applyFill="1" applyBorder="1" applyAlignment="1" applyProtection="1">
      <alignment horizontal="center" vertical="center" wrapText="1"/>
      <protection hidden="1"/>
    </xf>
    <xf numFmtId="0" fontId="0" fillId="5" borderId="61" xfId="0" applyNumberFormat="1" applyFill="1" applyBorder="1" applyAlignment="1" applyProtection="1">
      <alignment vertical="center"/>
      <protection hidden="1"/>
    </xf>
    <xf numFmtId="0" fontId="0" fillId="5" borderId="39" xfId="0" applyFill="1" applyBorder="1" applyAlignment="1">
      <alignment vertical="center"/>
    </xf>
    <xf numFmtId="0" fontId="0" fillId="0" borderId="17" xfId="0" applyFill="1" applyBorder="1" applyAlignment="1" applyProtection="1">
      <alignment horizontal="center" vertical="center"/>
      <protection locked="0"/>
    </xf>
    <xf numFmtId="0" fontId="0" fillId="5" borderId="119" xfId="0" applyNumberFormat="1" applyFill="1" applyBorder="1" applyAlignment="1" applyProtection="1">
      <alignment vertical="center"/>
      <protection hidden="1"/>
    </xf>
    <xf numFmtId="0" fontId="0" fillId="0" borderId="122" xfId="0" applyBorder="1" applyAlignment="1" applyProtection="1">
      <alignment vertical="center"/>
      <protection hidden="1"/>
    </xf>
    <xf numFmtId="0" fontId="0" fillId="0" borderId="22" xfId="0" applyFill="1" applyBorder="1" applyAlignment="1" applyProtection="1">
      <alignment horizontal="center" vertical="center"/>
      <protection locked="0"/>
    </xf>
    <xf numFmtId="0" fontId="0" fillId="0" borderId="112" xfId="0" applyFill="1" applyBorder="1" applyAlignment="1" applyProtection="1">
      <alignment horizontal="center" vertical="center"/>
      <protection locked="0"/>
    </xf>
    <xf numFmtId="176" fontId="0" fillId="0" borderId="121" xfId="0" applyNumberFormat="1" applyBorder="1" applyAlignment="1" applyProtection="1">
      <alignment vertical="center"/>
      <protection locked="0"/>
    </xf>
    <xf numFmtId="0" fontId="0" fillId="0" borderId="121" xfId="0" applyFill="1" applyBorder="1" applyAlignment="1" applyProtection="1">
      <alignment horizontal="center" vertical="center"/>
      <protection locked="0"/>
    </xf>
    <xf numFmtId="0" fontId="0" fillId="5" borderId="14" xfId="0" applyNumberFormat="1" applyFill="1" applyBorder="1" applyAlignment="1" applyProtection="1">
      <alignment horizontal="left"/>
      <protection hidden="1"/>
    </xf>
    <xf numFmtId="0" fontId="0" fillId="5" borderId="14" xfId="0" applyFill="1" applyBorder="1" applyAlignment="1" applyProtection="1">
      <protection hidden="1"/>
    </xf>
    <xf numFmtId="0" fontId="0" fillId="5" borderId="36" xfId="0" applyFill="1" applyBorder="1" applyAlignment="1" applyProtection="1">
      <alignment horizontal="left" vertical="center"/>
      <protection hidden="1"/>
    </xf>
    <xf numFmtId="0" fontId="0" fillId="5" borderId="30" xfId="0" applyFill="1" applyBorder="1" applyAlignment="1" applyProtection="1">
      <alignment horizontal="left" vertical="center"/>
      <protection hidden="1"/>
    </xf>
    <xf numFmtId="0" fontId="0" fillId="5" borderId="118" xfId="0" applyFill="1" applyBorder="1" applyAlignment="1" applyProtection="1">
      <alignment vertical="center"/>
      <protection hidden="1"/>
    </xf>
    <xf numFmtId="0" fontId="0" fillId="5" borderId="0" xfId="0" applyFill="1" applyAlignment="1" applyProtection="1">
      <alignment vertical="center"/>
      <protection hidden="1"/>
    </xf>
    <xf numFmtId="0" fontId="0" fillId="5" borderId="40" xfId="0" applyFill="1" applyBorder="1" applyAlignment="1" applyProtection="1">
      <alignment horizontal="right" vertical="center"/>
      <protection hidden="1"/>
    </xf>
    <xf numFmtId="0" fontId="0" fillId="5" borderId="60" xfId="0" applyFill="1" applyBorder="1" applyAlignment="1" applyProtection="1">
      <alignment horizontal="left" vertical="center"/>
      <protection hidden="1"/>
    </xf>
    <xf numFmtId="0" fontId="0" fillId="5" borderId="29" xfId="0" applyFill="1" applyBorder="1" applyAlignment="1" applyProtection="1">
      <alignment horizontal="left" vertical="center"/>
      <protection hidden="1"/>
    </xf>
    <xf numFmtId="0" fontId="0" fillId="0" borderId="42" xfId="0" applyBorder="1" applyAlignment="1">
      <alignment vertical="center" wrapText="1"/>
    </xf>
    <xf numFmtId="0" fontId="0" fillId="0" borderId="59" xfId="0" applyBorder="1" applyAlignment="1">
      <alignment vertical="center" wrapText="1"/>
    </xf>
    <xf numFmtId="0" fontId="0" fillId="0" borderId="47" xfId="0" applyBorder="1" applyAlignment="1">
      <alignment vertical="center" wrapText="1"/>
    </xf>
    <xf numFmtId="0" fontId="0" fillId="0" borderId="74" xfId="0" applyBorder="1" applyAlignment="1">
      <alignment vertical="center" wrapText="1"/>
    </xf>
    <xf numFmtId="0" fontId="1" fillId="5" borderId="119" xfId="0" applyNumberFormat="1" applyFont="1" applyFill="1" applyBorder="1" applyAlignment="1" applyProtection="1">
      <alignment vertical="center"/>
      <protection hidden="1"/>
    </xf>
    <xf numFmtId="0" fontId="1" fillId="5" borderId="122" xfId="0" applyNumberFormat="1" applyFont="1" applyFill="1" applyBorder="1" applyAlignment="1" applyProtection="1">
      <alignment vertical="center"/>
      <protection hidden="1"/>
    </xf>
    <xf numFmtId="0" fontId="1" fillId="5" borderId="120" xfId="0" applyNumberFormat="1" applyFont="1" applyFill="1" applyBorder="1" applyAlignment="1" applyProtection="1">
      <alignment vertical="center"/>
      <protection hidden="1"/>
    </xf>
    <xf numFmtId="0" fontId="1" fillId="5" borderId="12" xfId="0" applyNumberFormat="1" applyFont="1" applyFill="1" applyBorder="1" applyAlignment="1" applyProtection="1">
      <alignment vertical="center"/>
      <protection hidden="1"/>
    </xf>
    <xf numFmtId="0" fontId="1" fillId="5" borderId="13" xfId="0" applyNumberFormat="1" applyFont="1" applyFill="1" applyBorder="1" applyAlignment="1" applyProtection="1">
      <alignment vertical="center"/>
      <protection hidden="1"/>
    </xf>
    <xf numFmtId="0" fontId="1" fillId="5" borderId="15" xfId="0" applyNumberFormat="1" applyFont="1" applyFill="1" applyBorder="1" applyAlignment="1" applyProtection="1">
      <alignment vertical="center"/>
      <protection hidden="1"/>
    </xf>
    <xf numFmtId="0" fontId="0" fillId="5" borderId="24" xfId="0" applyFill="1" applyBorder="1" applyAlignment="1" applyProtection="1">
      <alignment horizontal="left" vertical="center"/>
      <protection hidden="1"/>
    </xf>
    <xf numFmtId="4" fontId="0" fillId="7" borderId="71" xfId="0" applyNumberFormat="1" applyFill="1" applyBorder="1" applyAlignment="1" applyProtection="1">
      <alignment horizontal="right" vertical="center"/>
      <protection locked="0"/>
    </xf>
    <xf numFmtId="0" fontId="0" fillId="5" borderId="126" xfId="0" applyFill="1" applyBorder="1" applyAlignment="1" applyProtection="1">
      <alignment horizontal="center" vertical="center"/>
      <protection hidden="1"/>
    </xf>
    <xf numFmtId="0" fontId="0" fillId="4" borderId="102" xfId="0" applyFill="1"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0" fontId="0" fillId="0" borderId="104" xfId="0" applyBorder="1" applyAlignment="1" applyProtection="1">
      <alignment horizontal="center" vertical="center" wrapText="1"/>
      <protection hidden="1"/>
    </xf>
    <xf numFmtId="0" fontId="0" fillId="4" borderId="34" xfId="0" applyFill="1"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36" xfId="0" applyBorder="1" applyAlignment="1" applyProtection="1">
      <alignment vertical="center" wrapText="1"/>
      <protection hidden="1"/>
    </xf>
    <xf numFmtId="0" fontId="2" fillId="5" borderId="67" xfId="0" applyNumberFormat="1" applyFont="1" applyFill="1" applyBorder="1" applyAlignment="1" applyProtection="1">
      <alignment horizontal="center" vertical="center"/>
      <protection hidden="1"/>
    </xf>
    <xf numFmtId="0" fontId="2" fillId="0" borderId="45" xfId="0" applyFont="1" applyBorder="1" applyAlignment="1" applyProtection="1">
      <alignment horizontal="center" vertical="center"/>
      <protection hidden="1"/>
    </xf>
    <xf numFmtId="0" fontId="2" fillId="0" borderId="46" xfId="0" applyFont="1" applyBorder="1" applyAlignment="1" applyProtection="1">
      <alignment horizontal="center" vertical="center"/>
      <protection hidden="1"/>
    </xf>
    <xf numFmtId="0" fontId="2" fillId="5" borderId="61" xfId="0" applyNumberFormat="1" applyFont="1" applyFill="1" applyBorder="1" applyAlignment="1" applyProtection="1">
      <alignment horizontal="center" vertical="center"/>
      <protection hidden="1"/>
    </xf>
    <xf numFmtId="0" fontId="0" fillId="5" borderId="121" xfId="0" applyNumberFormat="1" applyFill="1"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2" fillId="5" borderId="31" xfId="0" applyNumberFormat="1" applyFont="1" applyFill="1" applyBorder="1" applyAlignment="1" applyProtection="1">
      <alignment horizontal="center" vertical="center"/>
      <protection hidden="1"/>
    </xf>
    <xf numFmtId="0" fontId="2" fillId="0" borderId="22"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2" fillId="5" borderId="148" xfId="0" applyNumberFormat="1" applyFont="1" applyFill="1" applyBorder="1" applyAlignment="1" applyProtection="1">
      <alignment horizontal="center" vertical="center"/>
      <protection hidden="1"/>
    </xf>
    <xf numFmtId="0" fontId="2" fillId="5" borderId="148" xfId="0" applyFont="1" applyFill="1" applyBorder="1" applyAlignment="1" applyProtection="1">
      <alignment horizontal="center" vertical="center"/>
      <protection hidden="1"/>
    </xf>
    <xf numFmtId="0" fontId="2" fillId="0" borderId="148" xfId="0" applyFont="1" applyBorder="1" applyAlignment="1" applyProtection="1">
      <alignment horizontal="center" vertical="center"/>
      <protection hidden="1"/>
    </xf>
    <xf numFmtId="0" fontId="0" fillId="0" borderId="123" xfId="0" applyBorder="1" applyAlignment="1" applyProtection="1">
      <alignment horizontal="center" vertical="center"/>
      <protection hidden="1"/>
    </xf>
    <xf numFmtId="4" fontId="0" fillId="0" borderId="112" xfId="0" applyNumberFormat="1" applyBorder="1" applyAlignment="1" applyProtection="1">
      <alignment horizontal="center" vertical="center"/>
      <protection hidden="1"/>
    </xf>
    <xf numFmtId="0" fontId="0" fillId="2" borderId="24" xfId="0" applyFill="1" applyBorder="1" applyAlignment="1" applyProtection="1">
      <protection hidden="1"/>
    </xf>
    <xf numFmtId="0" fontId="0" fillId="2" borderId="25" xfId="0" applyFill="1" applyBorder="1" applyAlignment="1" applyProtection="1">
      <protection hidden="1"/>
    </xf>
    <xf numFmtId="0" fontId="0" fillId="2" borderId="27" xfId="0" applyFill="1" applyBorder="1" applyAlignment="1" applyProtection="1">
      <protection hidden="1"/>
    </xf>
    <xf numFmtId="0" fontId="1" fillId="15" borderId="50" xfId="0" applyFont="1" applyFill="1"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15" borderId="71" xfId="0" applyFill="1" applyBorder="1" applyAlignment="1" applyProtection="1">
      <alignment horizontal="center"/>
      <protection hidden="1"/>
    </xf>
    <xf numFmtId="0" fontId="0" fillId="15" borderId="130" xfId="0" applyFill="1" applyBorder="1" applyAlignment="1" applyProtection="1">
      <alignment horizontal="center"/>
      <protection hidden="1"/>
    </xf>
    <xf numFmtId="0" fontId="0" fillId="15" borderId="22" xfId="0" applyFill="1" applyBorder="1" applyAlignment="1" applyProtection="1">
      <alignment horizontal="center" vertical="center"/>
      <protection hidden="1"/>
    </xf>
    <xf numFmtId="0" fontId="0" fillId="15" borderId="112" xfId="0" applyFill="1" applyBorder="1" applyAlignment="1" applyProtection="1">
      <alignment horizontal="center" vertical="center"/>
      <protection hidden="1"/>
    </xf>
    <xf numFmtId="0" fontId="0" fillId="15" borderId="21" xfId="0" applyFill="1" applyBorder="1" applyAlignment="1" applyProtection="1">
      <alignment horizontal="center" vertical="center"/>
      <protection hidden="1"/>
    </xf>
    <xf numFmtId="0" fontId="0" fillId="15" borderId="22" xfId="0" applyNumberFormat="1" applyFill="1" applyBorder="1" applyAlignment="1" applyProtection="1">
      <alignment horizontal="center" vertical="center"/>
      <protection hidden="1"/>
    </xf>
    <xf numFmtId="0" fontId="0" fillId="15" borderId="61" xfId="0" applyFill="1" applyBorder="1" applyAlignment="1" applyProtection="1">
      <alignment horizontal="center" vertical="center"/>
      <protection hidden="1"/>
    </xf>
    <xf numFmtId="0" fontId="0" fillId="15" borderId="23" xfId="0" applyFill="1" applyBorder="1" applyAlignment="1" applyProtection="1">
      <alignment horizontal="center" vertical="center"/>
      <protection hidden="1"/>
    </xf>
    <xf numFmtId="0" fontId="2" fillId="5" borderId="121" xfId="0" applyNumberFormat="1" applyFont="1" applyFill="1" applyBorder="1" applyAlignment="1" applyProtection="1">
      <alignment vertical="center" wrapText="1"/>
      <protection hidden="1"/>
    </xf>
    <xf numFmtId="0" fontId="0" fillId="9" borderId="123" xfId="0" applyNumberFormat="1" applyFill="1" applyBorder="1" applyAlignment="1" applyProtection="1">
      <alignment horizontal="center" vertical="center"/>
      <protection locked="0"/>
    </xf>
    <xf numFmtId="0" fontId="0" fillId="9" borderId="124" xfId="0" applyNumberFormat="1" applyFill="1" applyBorder="1" applyAlignment="1" applyProtection="1">
      <alignment horizontal="center" vertical="center"/>
      <protection locked="0"/>
    </xf>
    <xf numFmtId="0" fontId="1" fillId="5" borderId="112" xfId="0" applyNumberFormat="1" applyFont="1" applyFill="1" applyBorder="1" applyAlignment="1" applyProtection="1">
      <alignment horizontal="center"/>
      <protection hidden="1"/>
    </xf>
    <xf numFmtId="0" fontId="0" fillId="5" borderId="112" xfId="0" applyFill="1" applyBorder="1" applyAlignment="1" applyProtection="1">
      <protection hidden="1"/>
    </xf>
    <xf numFmtId="0" fontId="0" fillId="5" borderId="119" xfId="0" applyNumberFormat="1" applyFill="1" applyBorder="1" applyAlignment="1" applyProtection="1">
      <alignment horizontal="center" vertical="center"/>
      <protection hidden="1"/>
    </xf>
    <xf numFmtId="0" fontId="0" fillId="5" borderId="120" xfId="0" applyFill="1" applyBorder="1" applyAlignment="1" applyProtection="1">
      <alignment horizontal="center" vertical="center"/>
      <protection hidden="1"/>
    </xf>
  </cellXfs>
  <cellStyles count="2">
    <cellStyle name="桁区切り" xfId="1" builtinId="6"/>
    <cellStyle name="標準" xfId="0" builtinId="0"/>
  </cellStyles>
  <dxfs count="0"/>
  <tableStyles count="0" defaultTableStyle="TableStyleMedium9" defaultPivotStyle="PivotStyleLight16"/>
  <colors>
    <mruColors>
      <color rgb="FFFFFF00"/>
      <color rgb="FFFFFF66"/>
      <color rgb="FFFFFF99"/>
      <color rgb="FFC0E3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5</xdr:col>
      <xdr:colOff>0</xdr:colOff>
      <xdr:row>35</xdr:row>
      <xdr:rowOff>9525</xdr:rowOff>
    </xdr:from>
    <xdr:to>
      <xdr:col>7</xdr:col>
      <xdr:colOff>0</xdr:colOff>
      <xdr:row>39</xdr:row>
      <xdr:rowOff>0</xdr:rowOff>
    </xdr:to>
    <xdr:sp macro="" textlink="">
      <xdr:nvSpPr>
        <xdr:cNvPr id="7443" name="Line 1">
          <a:extLst>
            <a:ext uri="{FF2B5EF4-FFF2-40B4-BE49-F238E27FC236}">
              <a16:creationId xmlns:a16="http://schemas.microsoft.com/office/drawing/2014/main" id="{00000000-0008-0000-0000-0000131D0000}"/>
            </a:ext>
          </a:extLst>
        </xdr:cNvPr>
        <xdr:cNvSpPr>
          <a:spLocks noChangeShapeType="1"/>
        </xdr:cNvSpPr>
      </xdr:nvSpPr>
      <xdr:spPr bwMode="auto">
        <a:xfrm flipV="1">
          <a:off x="3019425" y="10744200"/>
          <a:ext cx="1371600" cy="714375"/>
        </a:xfrm>
        <a:prstGeom prst="line">
          <a:avLst/>
        </a:prstGeom>
        <a:noFill/>
        <a:ln w="9525">
          <a:solidFill>
            <a:srgbClr val="000000"/>
          </a:solidFill>
          <a:round/>
          <a:headEnd/>
          <a:tailEnd/>
        </a:ln>
      </xdr:spPr>
    </xdr:sp>
    <xdr:clientData/>
  </xdr:twoCellAnchor>
  <xdr:twoCellAnchor>
    <xdr:from>
      <xdr:col>4</xdr:col>
      <xdr:colOff>295275</xdr:colOff>
      <xdr:row>38</xdr:row>
      <xdr:rowOff>76200</xdr:rowOff>
    </xdr:from>
    <xdr:to>
      <xdr:col>5</xdr:col>
      <xdr:colOff>0</xdr:colOff>
      <xdr:row>39</xdr:row>
      <xdr:rowOff>0</xdr:rowOff>
    </xdr:to>
    <xdr:sp macro="" textlink="">
      <xdr:nvSpPr>
        <xdr:cNvPr id="7444" name="Line 2">
          <a:extLst>
            <a:ext uri="{FF2B5EF4-FFF2-40B4-BE49-F238E27FC236}">
              <a16:creationId xmlns:a16="http://schemas.microsoft.com/office/drawing/2014/main" id="{00000000-0008-0000-0000-0000141D0000}"/>
            </a:ext>
          </a:extLst>
        </xdr:cNvPr>
        <xdr:cNvSpPr>
          <a:spLocks noChangeShapeType="1"/>
        </xdr:cNvSpPr>
      </xdr:nvSpPr>
      <xdr:spPr bwMode="auto">
        <a:xfrm flipH="1" flipV="1">
          <a:off x="2628900" y="11353800"/>
          <a:ext cx="390525" cy="104775"/>
        </a:xfrm>
        <a:prstGeom prst="line">
          <a:avLst/>
        </a:prstGeom>
        <a:noFill/>
        <a:ln w="9525">
          <a:solidFill>
            <a:srgbClr val="000000"/>
          </a:solidFill>
          <a:round/>
          <a:headEnd/>
          <a:tailEnd/>
        </a:ln>
      </xdr:spPr>
    </xdr:sp>
    <xdr:clientData/>
  </xdr:twoCellAnchor>
  <xdr:twoCellAnchor>
    <xdr:from>
      <xdr:col>6</xdr:col>
      <xdr:colOff>295275</xdr:colOff>
      <xdr:row>34</xdr:row>
      <xdr:rowOff>76200</xdr:rowOff>
    </xdr:from>
    <xdr:to>
      <xdr:col>7</xdr:col>
      <xdr:colOff>0</xdr:colOff>
      <xdr:row>35</xdr:row>
      <xdr:rowOff>0</xdr:rowOff>
    </xdr:to>
    <xdr:sp macro="" textlink="">
      <xdr:nvSpPr>
        <xdr:cNvPr id="7446" name="Line 4">
          <a:extLst>
            <a:ext uri="{FF2B5EF4-FFF2-40B4-BE49-F238E27FC236}">
              <a16:creationId xmlns:a16="http://schemas.microsoft.com/office/drawing/2014/main" id="{00000000-0008-0000-0000-0000161D0000}"/>
            </a:ext>
          </a:extLst>
        </xdr:cNvPr>
        <xdr:cNvSpPr>
          <a:spLocks noChangeShapeType="1"/>
        </xdr:cNvSpPr>
      </xdr:nvSpPr>
      <xdr:spPr bwMode="auto">
        <a:xfrm flipH="1" flipV="1">
          <a:off x="4000500" y="10629900"/>
          <a:ext cx="390525" cy="104775"/>
        </a:xfrm>
        <a:prstGeom prst="line">
          <a:avLst/>
        </a:prstGeom>
        <a:noFill/>
        <a:ln w="9525">
          <a:solidFill>
            <a:srgbClr val="000000"/>
          </a:solidFill>
          <a:round/>
          <a:headEnd/>
          <a:tailEnd/>
        </a:ln>
      </xdr:spPr>
    </xdr:sp>
    <xdr:clientData/>
  </xdr:twoCellAnchor>
  <xdr:twoCellAnchor>
    <xdr:from>
      <xdr:col>2</xdr:col>
      <xdr:colOff>581025</xdr:colOff>
      <xdr:row>34</xdr:row>
      <xdr:rowOff>0</xdr:rowOff>
    </xdr:from>
    <xdr:to>
      <xdr:col>3</xdr:col>
      <xdr:colOff>0</xdr:colOff>
      <xdr:row>35</xdr:row>
      <xdr:rowOff>9525</xdr:rowOff>
    </xdr:to>
    <xdr:sp macro="" textlink="">
      <xdr:nvSpPr>
        <xdr:cNvPr id="7447" name="Line 5">
          <a:extLst>
            <a:ext uri="{FF2B5EF4-FFF2-40B4-BE49-F238E27FC236}">
              <a16:creationId xmlns:a16="http://schemas.microsoft.com/office/drawing/2014/main" id="{00000000-0008-0000-0000-0000171D0000}"/>
            </a:ext>
          </a:extLst>
        </xdr:cNvPr>
        <xdr:cNvSpPr>
          <a:spLocks noChangeShapeType="1"/>
        </xdr:cNvSpPr>
      </xdr:nvSpPr>
      <xdr:spPr bwMode="auto">
        <a:xfrm flipH="1">
          <a:off x="1543050" y="10553700"/>
          <a:ext cx="104775" cy="190500"/>
        </a:xfrm>
        <a:prstGeom prst="line">
          <a:avLst/>
        </a:prstGeom>
        <a:noFill/>
        <a:ln w="9525">
          <a:solidFill>
            <a:srgbClr val="000000"/>
          </a:solidFill>
          <a:round/>
          <a:headEnd/>
          <a:tailEnd/>
        </a:ln>
      </xdr:spPr>
    </xdr:sp>
    <xdr:clientData/>
  </xdr:twoCellAnchor>
  <xdr:twoCellAnchor>
    <xdr:from>
      <xdr:col>3</xdr:col>
      <xdr:colOff>0</xdr:colOff>
      <xdr:row>33</xdr:row>
      <xdr:rowOff>171450</xdr:rowOff>
    </xdr:from>
    <xdr:to>
      <xdr:col>3</xdr:col>
      <xdr:colOff>85725</xdr:colOff>
      <xdr:row>35</xdr:row>
      <xdr:rowOff>0</xdr:rowOff>
    </xdr:to>
    <xdr:sp macro="" textlink="">
      <xdr:nvSpPr>
        <xdr:cNvPr id="7448" name="Line 6">
          <a:extLst>
            <a:ext uri="{FF2B5EF4-FFF2-40B4-BE49-F238E27FC236}">
              <a16:creationId xmlns:a16="http://schemas.microsoft.com/office/drawing/2014/main" id="{00000000-0008-0000-0000-0000181D0000}"/>
            </a:ext>
          </a:extLst>
        </xdr:cNvPr>
        <xdr:cNvSpPr>
          <a:spLocks noChangeShapeType="1"/>
        </xdr:cNvSpPr>
      </xdr:nvSpPr>
      <xdr:spPr bwMode="auto">
        <a:xfrm>
          <a:off x="828675" y="12820650"/>
          <a:ext cx="85725" cy="190500"/>
        </a:xfrm>
        <a:prstGeom prst="line">
          <a:avLst/>
        </a:prstGeom>
        <a:noFill/>
        <a:ln w="9525">
          <a:solidFill>
            <a:srgbClr val="000000"/>
          </a:solidFill>
          <a:round/>
          <a:headEnd/>
          <a:tailEnd/>
        </a:ln>
      </xdr:spPr>
    </xdr:sp>
    <xdr:clientData/>
  </xdr:twoCellAnchor>
  <xdr:twoCellAnchor>
    <xdr:from>
      <xdr:col>2</xdr:col>
      <xdr:colOff>581025</xdr:colOff>
      <xdr:row>35</xdr:row>
      <xdr:rowOff>0</xdr:rowOff>
    </xdr:from>
    <xdr:to>
      <xdr:col>3</xdr:col>
      <xdr:colOff>95250</xdr:colOff>
      <xdr:row>35</xdr:row>
      <xdr:rowOff>0</xdr:rowOff>
    </xdr:to>
    <xdr:sp macro="" textlink="">
      <xdr:nvSpPr>
        <xdr:cNvPr id="7449" name="Line 7">
          <a:extLst>
            <a:ext uri="{FF2B5EF4-FFF2-40B4-BE49-F238E27FC236}">
              <a16:creationId xmlns:a16="http://schemas.microsoft.com/office/drawing/2014/main" id="{00000000-0008-0000-0000-0000191D0000}"/>
            </a:ext>
          </a:extLst>
        </xdr:cNvPr>
        <xdr:cNvSpPr>
          <a:spLocks noChangeShapeType="1"/>
        </xdr:cNvSpPr>
      </xdr:nvSpPr>
      <xdr:spPr bwMode="auto">
        <a:xfrm>
          <a:off x="1543050" y="10734675"/>
          <a:ext cx="200025" cy="0"/>
        </a:xfrm>
        <a:prstGeom prst="line">
          <a:avLst/>
        </a:prstGeom>
        <a:noFill/>
        <a:ln w="9525">
          <a:solidFill>
            <a:srgbClr val="000000"/>
          </a:solidFill>
          <a:round/>
          <a:headEnd/>
          <a:tailEnd/>
        </a:ln>
      </xdr:spPr>
    </xdr:sp>
    <xdr:clientData/>
  </xdr:twoCellAnchor>
  <xdr:twoCellAnchor>
    <xdr:from>
      <xdr:col>4</xdr:col>
      <xdr:colOff>581025</xdr:colOff>
      <xdr:row>36</xdr:row>
      <xdr:rowOff>0</xdr:rowOff>
    </xdr:from>
    <xdr:to>
      <xdr:col>5</xdr:col>
      <xdr:colOff>0</xdr:colOff>
      <xdr:row>37</xdr:row>
      <xdr:rowOff>9525</xdr:rowOff>
    </xdr:to>
    <xdr:sp macro="" textlink="">
      <xdr:nvSpPr>
        <xdr:cNvPr id="7450" name="Line 8">
          <a:extLst>
            <a:ext uri="{FF2B5EF4-FFF2-40B4-BE49-F238E27FC236}">
              <a16:creationId xmlns:a16="http://schemas.microsoft.com/office/drawing/2014/main" id="{00000000-0008-0000-0000-00001A1D0000}"/>
            </a:ext>
          </a:extLst>
        </xdr:cNvPr>
        <xdr:cNvSpPr>
          <a:spLocks noChangeShapeType="1"/>
        </xdr:cNvSpPr>
      </xdr:nvSpPr>
      <xdr:spPr bwMode="auto">
        <a:xfrm flipH="1">
          <a:off x="2914650" y="10915650"/>
          <a:ext cx="104775" cy="190500"/>
        </a:xfrm>
        <a:prstGeom prst="line">
          <a:avLst/>
        </a:prstGeom>
        <a:noFill/>
        <a:ln w="9525">
          <a:solidFill>
            <a:srgbClr val="000000"/>
          </a:solidFill>
          <a:round/>
          <a:headEnd/>
          <a:tailEnd/>
        </a:ln>
      </xdr:spPr>
    </xdr:sp>
    <xdr:clientData/>
  </xdr:twoCellAnchor>
  <xdr:twoCellAnchor>
    <xdr:from>
      <xdr:col>5</xdr:col>
      <xdr:colOff>0</xdr:colOff>
      <xdr:row>35</xdr:row>
      <xdr:rowOff>171450</xdr:rowOff>
    </xdr:from>
    <xdr:to>
      <xdr:col>5</xdr:col>
      <xdr:colOff>85725</xdr:colOff>
      <xdr:row>37</xdr:row>
      <xdr:rowOff>0</xdr:rowOff>
    </xdr:to>
    <xdr:sp macro="" textlink="">
      <xdr:nvSpPr>
        <xdr:cNvPr id="7451" name="Line 9">
          <a:extLst>
            <a:ext uri="{FF2B5EF4-FFF2-40B4-BE49-F238E27FC236}">
              <a16:creationId xmlns:a16="http://schemas.microsoft.com/office/drawing/2014/main" id="{00000000-0008-0000-0000-00001B1D0000}"/>
            </a:ext>
          </a:extLst>
        </xdr:cNvPr>
        <xdr:cNvSpPr>
          <a:spLocks noChangeShapeType="1"/>
        </xdr:cNvSpPr>
      </xdr:nvSpPr>
      <xdr:spPr bwMode="auto">
        <a:xfrm>
          <a:off x="3019425" y="10906125"/>
          <a:ext cx="85725" cy="190500"/>
        </a:xfrm>
        <a:prstGeom prst="line">
          <a:avLst/>
        </a:prstGeom>
        <a:noFill/>
        <a:ln w="9525">
          <a:solidFill>
            <a:srgbClr val="000000"/>
          </a:solidFill>
          <a:round/>
          <a:headEnd/>
          <a:tailEnd/>
        </a:ln>
      </xdr:spPr>
    </xdr:sp>
    <xdr:clientData/>
  </xdr:twoCellAnchor>
  <xdr:twoCellAnchor>
    <xdr:from>
      <xdr:col>4</xdr:col>
      <xdr:colOff>581025</xdr:colOff>
      <xdr:row>37</xdr:row>
      <xdr:rowOff>0</xdr:rowOff>
    </xdr:from>
    <xdr:to>
      <xdr:col>5</xdr:col>
      <xdr:colOff>85725</xdr:colOff>
      <xdr:row>37</xdr:row>
      <xdr:rowOff>0</xdr:rowOff>
    </xdr:to>
    <xdr:sp macro="" textlink="">
      <xdr:nvSpPr>
        <xdr:cNvPr id="7452" name="Line 10">
          <a:extLst>
            <a:ext uri="{FF2B5EF4-FFF2-40B4-BE49-F238E27FC236}">
              <a16:creationId xmlns:a16="http://schemas.microsoft.com/office/drawing/2014/main" id="{00000000-0008-0000-0000-00001C1D0000}"/>
            </a:ext>
          </a:extLst>
        </xdr:cNvPr>
        <xdr:cNvSpPr>
          <a:spLocks noChangeShapeType="1"/>
        </xdr:cNvSpPr>
      </xdr:nvSpPr>
      <xdr:spPr bwMode="auto">
        <a:xfrm>
          <a:off x="2914650" y="11096625"/>
          <a:ext cx="190500" cy="0"/>
        </a:xfrm>
        <a:prstGeom prst="line">
          <a:avLst/>
        </a:prstGeom>
        <a:noFill/>
        <a:ln w="9525">
          <a:solidFill>
            <a:srgbClr val="000000"/>
          </a:solidFill>
          <a:round/>
          <a:headEnd/>
          <a:tailEnd/>
        </a:ln>
      </xdr:spPr>
    </xdr:sp>
    <xdr:clientData/>
  </xdr:twoCellAnchor>
  <xdr:twoCellAnchor>
    <xdr:from>
      <xdr:col>4</xdr:col>
      <xdr:colOff>295275</xdr:colOff>
      <xdr:row>31</xdr:row>
      <xdr:rowOff>0</xdr:rowOff>
    </xdr:from>
    <xdr:to>
      <xdr:col>5</xdr:col>
      <xdr:colOff>0</xdr:colOff>
      <xdr:row>31</xdr:row>
      <xdr:rowOff>85725</xdr:rowOff>
    </xdr:to>
    <xdr:sp macro="" textlink="">
      <xdr:nvSpPr>
        <xdr:cNvPr id="7453" name="Line 11">
          <a:extLst>
            <a:ext uri="{FF2B5EF4-FFF2-40B4-BE49-F238E27FC236}">
              <a16:creationId xmlns:a16="http://schemas.microsoft.com/office/drawing/2014/main" id="{00000000-0008-0000-0000-00001D1D0000}"/>
            </a:ext>
          </a:extLst>
        </xdr:cNvPr>
        <xdr:cNvSpPr>
          <a:spLocks noChangeShapeType="1"/>
        </xdr:cNvSpPr>
      </xdr:nvSpPr>
      <xdr:spPr bwMode="auto">
        <a:xfrm flipH="1">
          <a:off x="2628900" y="10010775"/>
          <a:ext cx="390525" cy="85725"/>
        </a:xfrm>
        <a:prstGeom prst="line">
          <a:avLst/>
        </a:prstGeom>
        <a:noFill/>
        <a:ln w="9525">
          <a:solidFill>
            <a:srgbClr val="000000"/>
          </a:solidFill>
          <a:round/>
          <a:headEnd/>
          <a:tailEnd/>
        </a:ln>
      </xdr:spPr>
    </xdr:sp>
    <xdr:clientData/>
  </xdr:twoCellAnchor>
  <xdr:twoCellAnchor>
    <xdr:from>
      <xdr:col>6</xdr:col>
      <xdr:colOff>295275</xdr:colOff>
      <xdr:row>33</xdr:row>
      <xdr:rowOff>0</xdr:rowOff>
    </xdr:from>
    <xdr:to>
      <xdr:col>7</xdr:col>
      <xdr:colOff>0</xdr:colOff>
      <xdr:row>33</xdr:row>
      <xdr:rowOff>85725</xdr:rowOff>
    </xdr:to>
    <xdr:sp macro="" textlink="">
      <xdr:nvSpPr>
        <xdr:cNvPr id="7454" name="Line 12">
          <a:extLst>
            <a:ext uri="{FF2B5EF4-FFF2-40B4-BE49-F238E27FC236}">
              <a16:creationId xmlns:a16="http://schemas.microsoft.com/office/drawing/2014/main" id="{00000000-0008-0000-0000-00001E1D0000}"/>
            </a:ext>
          </a:extLst>
        </xdr:cNvPr>
        <xdr:cNvSpPr>
          <a:spLocks noChangeShapeType="1"/>
        </xdr:cNvSpPr>
      </xdr:nvSpPr>
      <xdr:spPr bwMode="auto">
        <a:xfrm flipH="1">
          <a:off x="4000500" y="10372725"/>
          <a:ext cx="390525" cy="85725"/>
        </a:xfrm>
        <a:prstGeom prst="line">
          <a:avLst/>
        </a:prstGeom>
        <a:noFill/>
        <a:ln w="9525">
          <a:solidFill>
            <a:srgbClr val="000000"/>
          </a:solidFill>
          <a:round/>
          <a:headEnd/>
          <a:tailEnd/>
        </a:ln>
      </xdr:spPr>
    </xdr:sp>
    <xdr:clientData/>
  </xdr:twoCellAnchor>
  <xdr:twoCellAnchor editAs="oneCell">
    <xdr:from>
      <xdr:col>2</xdr:col>
      <xdr:colOff>38100</xdr:colOff>
      <xdr:row>83</xdr:row>
      <xdr:rowOff>57150</xdr:rowOff>
    </xdr:from>
    <xdr:to>
      <xdr:col>8</xdr:col>
      <xdr:colOff>285750</xdr:colOff>
      <xdr:row>93</xdr:row>
      <xdr:rowOff>161925</xdr:rowOff>
    </xdr:to>
    <xdr:pic>
      <xdr:nvPicPr>
        <xdr:cNvPr id="7455" name="Picture 13">
          <a:extLst>
            <a:ext uri="{FF2B5EF4-FFF2-40B4-BE49-F238E27FC236}">
              <a16:creationId xmlns:a16="http://schemas.microsoft.com/office/drawing/2014/main" id="{00000000-0008-0000-0000-00001F1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0125" y="16440150"/>
          <a:ext cx="3362325" cy="1914525"/>
        </a:xfrm>
        <a:prstGeom prst="rect">
          <a:avLst/>
        </a:prstGeom>
        <a:noFill/>
        <a:ln w="9525">
          <a:noFill/>
          <a:miter lim="800000"/>
          <a:headEnd/>
          <a:tailEnd/>
        </a:ln>
      </xdr:spPr>
    </xdr:pic>
    <xdr:clientData/>
  </xdr:twoCellAnchor>
  <xdr:twoCellAnchor editAs="oneCell">
    <xdr:from>
      <xdr:col>2</xdr:col>
      <xdr:colOff>304800</xdr:colOff>
      <xdr:row>57</xdr:row>
      <xdr:rowOff>0</xdr:rowOff>
    </xdr:from>
    <xdr:to>
      <xdr:col>7</xdr:col>
      <xdr:colOff>514350</xdr:colOff>
      <xdr:row>63</xdr:row>
      <xdr:rowOff>0</xdr:rowOff>
    </xdr:to>
    <xdr:pic>
      <xdr:nvPicPr>
        <xdr:cNvPr id="7456" name="Picture 14">
          <a:extLst>
            <a:ext uri="{FF2B5EF4-FFF2-40B4-BE49-F238E27FC236}">
              <a16:creationId xmlns:a16="http://schemas.microsoft.com/office/drawing/2014/main" id="{00000000-0008-0000-0000-0000201D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6825" y="13468350"/>
          <a:ext cx="2638425" cy="1085850"/>
        </a:xfrm>
        <a:prstGeom prst="rect">
          <a:avLst/>
        </a:prstGeom>
        <a:noFill/>
        <a:ln w="9525">
          <a:noFill/>
          <a:miter lim="800000"/>
          <a:headEnd/>
          <a:tailEnd/>
        </a:ln>
      </xdr:spPr>
    </xdr:pic>
    <xdr:clientData/>
  </xdr:twoCellAnchor>
  <xdr:twoCellAnchor>
    <xdr:from>
      <xdr:col>3</xdr:col>
      <xdr:colOff>276226</xdr:colOff>
      <xdr:row>8</xdr:row>
      <xdr:rowOff>190499</xdr:rowOff>
    </xdr:from>
    <xdr:to>
      <xdr:col>4</xdr:col>
      <xdr:colOff>352426</xdr:colOff>
      <xdr:row>12</xdr:row>
      <xdr:rowOff>180974</xdr:rowOff>
    </xdr:to>
    <xdr:cxnSp macro="">
      <xdr:nvCxnSpPr>
        <xdr:cNvPr id="18" name="曲線コネクタ 17">
          <a:extLst>
            <a:ext uri="{FF2B5EF4-FFF2-40B4-BE49-F238E27FC236}">
              <a16:creationId xmlns:a16="http://schemas.microsoft.com/office/drawing/2014/main" id="{00000000-0008-0000-0000-000012000000}"/>
            </a:ext>
          </a:extLst>
        </xdr:cNvPr>
        <xdr:cNvCxnSpPr/>
      </xdr:nvCxnSpPr>
      <xdr:spPr>
        <a:xfrm rot="16200000" flipH="1">
          <a:off x="928688" y="8377237"/>
          <a:ext cx="752475" cy="400050"/>
        </a:xfrm>
        <a:prstGeom prst="curvedConnector3">
          <a:avLst>
            <a:gd name="adj1" fmla="val 50000"/>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276224</xdr:colOff>
      <xdr:row>9</xdr:row>
      <xdr:rowOff>38100</xdr:rowOff>
    </xdr:from>
    <xdr:to>
      <xdr:col>6</xdr:col>
      <xdr:colOff>342899</xdr:colOff>
      <xdr:row>10</xdr:row>
      <xdr:rowOff>57150</xdr:rowOff>
    </xdr:to>
    <xdr:cxnSp macro="">
      <xdr:nvCxnSpPr>
        <xdr:cNvPr id="20" name="曲線コネクタ 19">
          <a:extLst>
            <a:ext uri="{FF2B5EF4-FFF2-40B4-BE49-F238E27FC236}">
              <a16:creationId xmlns:a16="http://schemas.microsoft.com/office/drawing/2014/main" id="{00000000-0008-0000-0000-000014000000}"/>
            </a:ext>
          </a:extLst>
        </xdr:cNvPr>
        <xdr:cNvCxnSpPr/>
      </xdr:nvCxnSpPr>
      <xdr:spPr>
        <a:xfrm rot="16200000" flipH="1">
          <a:off x="2471737" y="8310562"/>
          <a:ext cx="209550" cy="66675"/>
        </a:xfrm>
        <a:prstGeom prst="curvedConnector3">
          <a:avLst>
            <a:gd name="adj1" fmla="val 50000"/>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495301</xdr:colOff>
      <xdr:row>9</xdr:row>
      <xdr:rowOff>114299</xdr:rowOff>
    </xdr:from>
    <xdr:to>
      <xdr:col>7</xdr:col>
      <xdr:colOff>628651</xdr:colOff>
      <xdr:row>11</xdr:row>
      <xdr:rowOff>9524</xdr:rowOff>
    </xdr:to>
    <xdr:cxnSp macro="">
      <xdr:nvCxnSpPr>
        <xdr:cNvPr id="22" name="曲線コネクタ 21">
          <a:extLst>
            <a:ext uri="{FF2B5EF4-FFF2-40B4-BE49-F238E27FC236}">
              <a16:creationId xmlns:a16="http://schemas.microsoft.com/office/drawing/2014/main" id="{00000000-0008-0000-0000-000016000000}"/>
            </a:ext>
          </a:extLst>
        </xdr:cNvPr>
        <xdr:cNvCxnSpPr/>
      </xdr:nvCxnSpPr>
      <xdr:spPr>
        <a:xfrm rot="16200000" flipH="1">
          <a:off x="3376613" y="8386762"/>
          <a:ext cx="276225" cy="133350"/>
        </a:xfrm>
        <a:prstGeom prst="curvedConnector3">
          <a:avLst>
            <a:gd name="adj1" fmla="val 50000"/>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685799</xdr:colOff>
      <xdr:row>31</xdr:row>
      <xdr:rowOff>0</xdr:rowOff>
    </xdr:from>
    <xdr:to>
      <xdr:col>6</xdr:col>
      <xdr:colOff>685799</xdr:colOff>
      <xdr:row>33</xdr:row>
      <xdr:rowOff>0</xdr:rowOff>
    </xdr:to>
    <xdr:cxnSp macro="">
      <xdr:nvCxnSpPr>
        <xdr:cNvPr id="24" name="直線コネクタ 23">
          <a:extLst>
            <a:ext uri="{FF2B5EF4-FFF2-40B4-BE49-F238E27FC236}">
              <a16:creationId xmlns:a16="http://schemas.microsoft.com/office/drawing/2014/main" id="{00000000-0008-0000-0000-000018000000}"/>
            </a:ext>
          </a:extLst>
        </xdr:cNvPr>
        <xdr:cNvCxnSpPr>
          <a:stCxn id="7453" idx="0"/>
          <a:endCxn id="7454" idx="0"/>
        </xdr:cNvCxnSpPr>
      </xdr:nvCxnSpPr>
      <xdr:spPr>
        <a:xfrm rot="16200000" flipH="1">
          <a:off x="2214562" y="11911012"/>
          <a:ext cx="361950" cy="11144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32</xdr:row>
      <xdr:rowOff>9525</xdr:rowOff>
    </xdr:from>
    <xdr:to>
      <xdr:col>6</xdr:col>
      <xdr:colOff>19050</xdr:colOff>
      <xdr:row>34</xdr:row>
      <xdr:rowOff>9525</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a:off x="1152525" y="12477750"/>
          <a:ext cx="113347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33</xdr:row>
      <xdr:rowOff>171450</xdr:rowOff>
    </xdr:from>
    <xdr:to>
      <xdr:col>5</xdr:col>
      <xdr:colOff>0</xdr:colOff>
      <xdr:row>35</xdr:row>
      <xdr:rowOff>171450</xdr:rowOff>
    </xdr:to>
    <xdr:cxnSp macro="">
      <xdr:nvCxnSpPr>
        <xdr:cNvPr id="28" name="直線コネクタ 27">
          <a:extLst>
            <a:ext uri="{FF2B5EF4-FFF2-40B4-BE49-F238E27FC236}">
              <a16:creationId xmlns:a16="http://schemas.microsoft.com/office/drawing/2014/main" id="{00000000-0008-0000-0000-00001C000000}"/>
            </a:ext>
          </a:extLst>
        </xdr:cNvPr>
        <xdr:cNvCxnSpPr>
          <a:stCxn id="7448" idx="0"/>
          <a:endCxn id="7451" idx="0"/>
        </xdr:cNvCxnSpPr>
      </xdr:nvCxnSpPr>
      <xdr:spPr>
        <a:xfrm rot="16200000" flipH="1">
          <a:off x="1152525" y="12496800"/>
          <a:ext cx="361950" cy="10096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36</xdr:row>
      <xdr:rowOff>19050</xdr:rowOff>
    </xdr:from>
    <xdr:to>
      <xdr:col>3</xdr:col>
      <xdr:colOff>314325</xdr:colOff>
      <xdr:row>38</xdr:row>
      <xdr:rowOff>0</xdr:rowOff>
    </xdr:to>
    <xdr:cxnSp macro="">
      <xdr:nvCxnSpPr>
        <xdr:cNvPr id="30" name="直線コネクタ 29">
          <a:extLst>
            <a:ext uri="{FF2B5EF4-FFF2-40B4-BE49-F238E27FC236}">
              <a16:creationId xmlns:a16="http://schemas.microsoft.com/office/drawing/2014/main" id="{00000000-0008-0000-0000-00001E000000}"/>
            </a:ext>
          </a:extLst>
        </xdr:cNvPr>
        <xdr:cNvCxnSpPr/>
      </xdr:nvCxnSpPr>
      <xdr:spPr>
        <a:xfrm rot="10800000">
          <a:off x="342900" y="13211175"/>
          <a:ext cx="800100" cy="342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180975</xdr:colOff>
      <xdr:row>36</xdr:row>
      <xdr:rowOff>76200</xdr:rowOff>
    </xdr:from>
    <xdr:to>
      <xdr:col>6</xdr:col>
      <xdr:colOff>114300</xdr:colOff>
      <xdr:row>37</xdr:row>
      <xdr:rowOff>28575</xdr:rowOff>
    </xdr:to>
    <xdr:cxnSp macro="">
      <xdr:nvCxnSpPr>
        <xdr:cNvPr id="32" name="直線コネクタ 31">
          <a:extLst>
            <a:ext uri="{FF2B5EF4-FFF2-40B4-BE49-F238E27FC236}">
              <a16:creationId xmlns:a16="http://schemas.microsoft.com/office/drawing/2014/main" id="{00000000-0008-0000-0000-000020000000}"/>
            </a:ext>
          </a:extLst>
        </xdr:cNvPr>
        <xdr:cNvCxnSpPr/>
      </xdr:nvCxnSpPr>
      <xdr:spPr>
        <a:xfrm>
          <a:off x="2019300" y="13268325"/>
          <a:ext cx="361950"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28576</xdr:colOff>
      <xdr:row>8</xdr:row>
      <xdr:rowOff>76200</xdr:rowOff>
    </xdr:from>
    <xdr:to>
      <xdr:col>12</xdr:col>
      <xdr:colOff>333376</xdr:colOff>
      <xdr:row>44</xdr:row>
      <xdr:rowOff>0</xdr:rowOff>
    </xdr:to>
    <xdr:cxnSp macro="">
      <xdr:nvCxnSpPr>
        <xdr:cNvPr id="34" name="曲線コネクタ 33">
          <a:extLst>
            <a:ext uri="{FF2B5EF4-FFF2-40B4-BE49-F238E27FC236}">
              <a16:creationId xmlns:a16="http://schemas.microsoft.com/office/drawing/2014/main" id="{00000000-0008-0000-0000-000022000000}"/>
            </a:ext>
          </a:extLst>
        </xdr:cNvPr>
        <xdr:cNvCxnSpPr/>
      </xdr:nvCxnSpPr>
      <xdr:spPr>
        <a:xfrm rot="5400000">
          <a:off x="509588" y="10387013"/>
          <a:ext cx="6581775" cy="5238750"/>
        </a:xfrm>
        <a:prstGeom prst="curvedConnector3">
          <a:avLst>
            <a:gd name="adj1" fmla="val 50000"/>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228601</xdr:colOff>
      <xdr:row>38</xdr:row>
      <xdr:rowOff>133350</xdr:rowOff>
    </xdr:from>
    <xdr:to>
      <xdr:col>10</xdr:col>
      <xdr:colOff>161926</xdr:colOff>
      <xdr:row>41</xdr:row>
      <xdr:rowOff>152400</xdr:rowOff>
    </xdr:to>
    <xdr:cxnSp macro="">
      <xdr:nvCxnSpPr>
        <xdr:cNvPr id="36" name="曲線コネクタ 35">
          <a:extLst>
            <a:ext uri="{FF2B5EF4-FFF2-40B4-BE49-F238E27FC236}">
              <a16:creationId xmlns:a16="http://schemas.microsoft.com/office/drawing/2014/main" id="{00000000-0008-0000-0000-000024000000}"/>
            </a:ext>
          </a:extLst>
        </xdr:cNvPr>
        <xdr:cNvCxnSpPr/>
      </xdr:nvCxnSpPr>
      <xdr:spPr>
        <a:xfrm rot="5400000" flipH="1" flipV="1">
          <a:off x="4424363" y="13816013"/>
          <a:ext cx="581025" cy="323850"/>
        </a:xfrm>
        <a:prstGeom prst="curvedConnector3">
          <a:avLst>
            <a:gd name="adj1" fmla="val 50000"/>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45720</xdr:colOff>
      <xdr:row>44</xdr:row>
      <xdr:rowOff>63627</xdr:rowOff>
    </xdr:to>
    <xdr:pic>
      <xdr:nvPicPr>
        <xdr:cNvPr id="4" name="図 3" descr="img039.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stretch>
          <a:fillRect/>
        </a:stretch>
      </xdr:blipFill>
      <xdr:spPr>
        <a:xfrm>
          <a:off x="685800" y="180975"/>
          <a:ext cx="4846320" cy="7845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171068</xdr:colOff>
      <xdr:row>46</xdr:row>
      <xdr:rowOff>19431</xdr:rowOff>
    </xdr:from>
    <xdr:to>
      <xdr:col>11</xdr:col>
      <xdr:colOff>409574</xdr:colOff>
      <xdr:row>65</xdr:row>
      <xdr:rowOff>762</xdr:rowOff>
    </xdr:to>
    <xdr:pic>
      <xdr:nvPicPr>
        <xdr:cNvPr id="25" name="図 24" descr="img034.jpg">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cstate="print"/>
        <a:stretch>
          <a:fillRect/>
        </a:stretch>
      </xdr:blipFill>
      <xdr:spPr>
        <a:xfrm rot="-5400000">
          <a:off x="1280731" y="7234618"/>
          <a:ext cx="3419856" cy="5639181"/>
        </a:xfrm>
        <a:prstGeom prst="rect">
          <a:avLst/>
        </a:prstGeom>
      </xdr:spPr>
    </xdr:pic>
    <xdr:clientData/>
  </xdr:twoCellAnchor>
  <xdr:twoCellAnchor editAs="oneCell">
    <xdr:from>
      <xdr:col>2</xdr:col>
      <xdr:colOff>247650</xdr:colOff>
      <xdr:row>1</xdr:row>
      <xdr:rowOff>47625</xdr:rowOff>
    </xdr:from>
    <xdr:to>
      <xdr:col>15</xdr:col>
      <xdr:colOff>451866</xdr:colOff>
      <xdr:row>33</xdr:row>
      <xdr:rowOff>178689</xdr:rowOff>
    </xdr:to>
    <xdr:pic>
      <xdr:nvPicPr>
        <xdr:cNvPr id="27" name="図 26" descr="img036.jpg">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rot="-5400000">
          <a:off x="1722501" y="-722376"/>
          <a:ext cx="5922264" cy="7824216"/>
        </a:xfrm>
        <a:prstGeom prst="rect">
          <a:avLst/>
        </a:prstGeom>
      </xdr:spPr>
    </xdr:pic>
    <xdr:clientData/>
  </xdr:twoCellAnchor>
  <xdr:twoCellAnchor editAs="oneCell">
    <xdr:from>
      <xdr:col>11</xdr:col>
      <xdr:colOff>180975</xdr:colOff>
      <xdr:row>39</xdr:row>
      <xdr:rowOff>123825</xdr:rowOff>
    </xdr:from>
    <xdr:to>
      <xdr:col>16</xdr:col>
      <xdr:colOff>683895</xdr:colOff>
      <xdr:row>72</xdr:row>
      <xdr:rowOff>55626</xdr:rowOff>
    </xdr:to>
    <xdr:pic>
      <xdr:nvPicPr>
        <xdr:cNvPr id="5" name="図 4" descr="img038.jp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stretch>
          <a:fillRect/>
        </a:stretch>
      </xdr:blipFill>
      <xdr:spPr>
        <a:xfrm rot="10800000">
          <a:off x="5581650" y="7181850"/>
          <a:ext cx="3931920" cy="59039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133350</xdr:rowOff>
    </xdr:from>
    <xdr:to>
      <xdr:col>7</xdr:col>
      <xdr:colOff>607695</xdr:colOff>
      <xdr:row>44</xdr:row>
      <xdr:rowOff>16002</xdr:rowOff>
    </xdr:to>
    <xdr:pic>
      <xdr:nvPicPr>
        <xdr:cNvPr id="2" name="図 1" descr="img039.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61975" y="133350"/>
          <a:ext cx="4846320" cy="78455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219075</xdr:colOff>
      <xdr:row>139</xdr:row>
      <xdr:rowOff>142875</xdr:rowOff>
    </xdr:from>
    <xdr:to>
      <xdr:col>6</xdr:col>
      <xdr:colOff>419100</xdr:colOff>
      <xdr:row>143</xdr:row>
      <xdr:rowOff>152400</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V="1">
          <a:off x="2057400" y="10925175"/>
          <a:ext cx="628650" cy="7334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228600</xdr:colOff>
      <xdr:row>139</xdr:row>
      <xdr:rowOff>66675</xdr:rowOff>
    </xdr:from>
    <xdr:to>
      <xdr:col>9</xdr:col>
      <xdr:colOff>352425</xdr:colOff>
      <xdr:row>143</xdr:row>
      <xdr:rowOff>142875</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a:xfrm flipV="1">
          <a:off x="2066925" y="10848975"/>
          <a:ext cx="2609850" cy="800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409575</xdr:colOff>
      <xdr:row>124</xdr:row>
      <xdr:rowOff>47625</xdr:rowOff>
    </xdr:from>
    <xdr:to>
      <xdr:col>9</xdr:col>
      <xdr:colOff>438150</xdr:colOff>
      <xdr:row>128</xdr:row>
      <xdr:rowOff>104775</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a:xfrm flipV="1">
          <a:off x="5534025" y="8448675"/>
          <a:ext cx="28575" cy="7810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19050</xdr:colOff>
          <xdr:row>162</xdr:row>
          <xdr:rowOff>28575</xdr:rowOff>
        </xdr:from>
        <xdr:to>
          <xdr:col>12</xdr:col>
          <xdr:colOff>95250</xdr:colOff>
          <xdr:row>172</xdr:row>
          <xdr:rowOff>57150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173</xdr:row>
          <xdr:rowOff>19050</xdr:rowOff>
        </xdr:from>
        <xdr:to>
          <xdr:col>11</xdr:col>
          <xdr:colOff>428625</xdr:colOff>
          <xdr:row>184</xdr:row>
          <xdr:rowOff>95250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190</xdr:row>
          <xdr:rowOff>38100</xdr:rowOff>
        </xdr:from>
        <xdr:to>
          <xdr:col>11</xdr:col>
          <xdr:colOff>314325</xdr:colOff>
          <xdr:row>209</xdr:row>
          <xdr:rowOff>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323850</xdr:colOff>
      <xdr:row>78</xdr:row>
      <xdr:rowOff>85725</xdr:rowOff>
    </xdr:from>
    <xdr:to>
      <xdr:col>6</xdr:col>
      <xdr:colOff>647700</xdr:colOff>
      <xdr:row>82</xdr:row>
      <xdr:rowOff>123825</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a:xfrm flipH="1" flipV="1">
          <a:off x="2590800" y="2124075"/>
          <a:ext cx="323850" cy="771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323850</xdr:colOff>
      <xdr:row>78</xdr:row>
      <xdr:rowOff>114300</xdr:rowOff>
    </xdr:from>
    <xdr:to>
      <xdr:col>7</xdr:col>
      <xdr:colOff>676275</xdr:colOff>
      <xdr:row>81</xdr:row>
      <xdr:rowOff>95250</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a:xfrm flipH="1" flipV="1">
          <a:off x="3276600" y="2152650"/>
          <a:ext cx="352425" cy="533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161925</xdr:colOff>
      <xdr:row>78</xdr:row>
      <xdr:rowOff>95250</xdr:rowOff>
    </xdr:from>
    <xdr:to>
      <xdr:col>3</xdr:col>
      <xdr:colOff>304800</xdr:colOff>
      <xdr:row>83</xdr:row>
      <xdr:rowOff>114300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a:xfrm flipH="1" flipV="1">
          <a:off x="990600" y="2133600"/>
          <a:ext cx="142875" cy="9334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457200</xdr:colOff>
      <xdr:row>151</xdr:row>
      <xdr:rowOff>152400</xdr:rowOff>
    </xdr:from>
    <xdr:to>
      <xdr:col>10</xdr:col>
      <xdr:colOff>28575</xdr:colOff>
      <xdr:row>156</xdr:row>
      <xdr:rowOff>47625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flipV="1">
          <a:off x="5581650" y="13487400"/>
          <a:ext cx="228600" cy="800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122</xdr:row>
      <xdr:rowOff>123825</xdr:rowOff>
    </xdr:from>
    <xdr:to>
      <xdr:col>6</xdr:col>
      <xdr:colOff>133350</xdr:colOff>
      <xdr:row>132</xdr:row>
      <xdr:rowOff>9525</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a:xfrm flipV="1">
          <a:off x="2495550" y="8153400"/>
          <a:ext cx="790575" cy="17145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85725</xdr:colOff>
          <xdr:row>285</xdr:row>
          <xdr:rowOff>104775</xdr:rowOff>
        </xdr:from>
        <xdr:to>
          <xdr:col>12</xdr:col>
          <xdr:colOff>514350</xdr:colOff>
          <xdr:row>333</xdr:row>
          <xdr:rowOff>152400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400-000008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10</xdr:col>
      <xdr:colOff>476250</xdr:colOff>
      <xdr:row>250</xdr:row>
      <xdr:rowOff>57150</xdr:rowOff>
    </xdr:from>
    <xdr:to>
      <xdr:col>12</xdr:col>
      <xdr:colOff>114300</xdr:colOff>
      <xdr:row>255</xdr:row>
      <xdr:rowOff>95250</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a:xfrm>
          <a:off x="6257925" y="27612975"/>
          <a:ext cx="952500" cy="9715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504825</xdr:colOff>
      <xdr:row>212</xdr:row>
      <xdr:rowOff>9525</xdr:rowOff>
    </xdr:from>
    <xdr:to>
      <xdr:col>10</xdr:col>
      <xdr:colOff>561975</xdr:colOff>
      <xdr:row>213</xdr:row>
      <xdr:rowOff>152400</xdr:rowOff>
    </xdr:to>
    <xdr:cxnSp macro="">
      <xdr:nvCxnSpPr>
        <xdr:cNvPr id="16" name="直線矢印コネクタ 15">
          <a:extLst>
            <a:ext uri="{FF2B5EF4-FFF2-40B4-BE49-F238E27FC236}">
              <a16:creationId xmlns:a16="http://schemas.microsoft.com/office/drawing/2014/main" id="{00000000-0008-0000-0400-000010000000}"/>
            </a:ext>
          </a:extLst>
        </xdr:cNvPr>
        <xdr:cNvCxnSpPr/>
      </xdr:nvCxnSpPr>
      <xdr:spPr>
        <a:xfrm flipH="1" flipV="1">
          <a:off x="6286500" y="24050625"/>
          <a:ext cx="57150" cy="3333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495300</xdr:colOff>
      <xdr:row>250</xdr:row>
      <xdr:rowOff>19050</xdr:rowOff>
    </xdr:from>
    <xdr:to>
      <xdr:col>10</xdr:col>
      <xdr:colOff>628650</xdr:colOff>
      <xdr:row>250</xdr:row>
      <xdr:rowOff>85725</xdr:rowOff>
    </xdr:to>
    <xdr:cxnSp macro="">
      <xdr:nvCxnSpPr>
        <xdr:cNvPr id="19" name="直線コネクタ 18">
          <a:extLst>
            <a:ext uri="{FF2B5EF4-FFF2-40B4-BE49-F238E27FC236}">
              <a16:creationId xmlns:a16="http://schemas.microsoft.com/office/drawing/2014/main" id="{00000000-0008-0000-0400-000013000000}"/>
            </a:ext>
          </a:extLst>
        </xdr:cNvPr>
        <xdr:cNvCxnSpPr/>
      </xdr:nvCxnSpPr>
      <xdr:spPr>
        <a:xfrm flipV="1">
          <a:off x="6276975" y="27574875"/>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257</xdr:row>
      <xdr:rowOff>38100</xdr:rowOff>
    </xdr:from>
    <xdr:to>
      <xdr:col>8</xdr:col>
      <xdr:colOff>152400</xdr:colOff>
      <xdr:row>259</xdr:row>
      <xdr:rowOff>123825</xdr:rowOff>
    </xdr:to>
    <xdr:cxnSp macro="">
      <xdr:nvCxnSpPr>
        <xdr:cNvPr id="23" name="直線矢印コネクタ 22">
          <a:extLst>
            <a:ext uri="{FF2B5EF4-FFF2-40B4-BE49-F238E27FC236}">
              <a16:creationId xmlns:a16="http://schemas.microsoft.com/office/drawing/2014/main" id="{00000000-0008-0000-0400-000017000000}"/>
            </a:ext>
          </a:extLst>
        </xdr:cNvPr>
        <xdr:cNvCxnSpPr/>
      </xdr:nvCxnSpPr>
      <xdr:spPr>
        <a:xfrm flipV="1">
          <a:off x="2514600" y="28898850"/>
          <a:ext cx="2105025" cy="447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259</xdr:row>
      <xdr:rowOff>133350</xdr:rowOff>
    </xdr:from>
    <xdr:to>
      <xdr:col>8</xdr:col>
      <xdr:colOff>552450</xdr:colOff>
      <xdr:row>260</xdr:row>
      <xdr:rowOff>95250</xdr:rowOff>
    </xdr:to>
    <xdr:cxnSp macro="">
      <xdr:nvCxnSpPr>
        <xdr:cNvPr id="27" name="直線矢印コネクタ 26">
          <a:extLst>
            <a:ext uri="{FF2B5EF4-FFF2-40B4-BE49-F238E27FC236}">
              <a16:creationId xmlns:a16="http://schemas.microsoft.com/office/drawing/2014/main" id="{00000000-0008-0000-0400-00001B000000}"/>
            </a:ext>
          </a:extLst>
        </xdr:cNvPr>
        <xdr:cNvCxnSpPr/>
      </xdr:nvCxnSpPr>
      <xdr:spPr>
        <a:xfrm>
          <a:off x="2524125" y="29356050"/>
          <a:ext cx="24955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304800</xdr:colOff>
      <xdr:row>260</xdr:row>
      <xdr:rowOff>152400</xdr:rowOff>
    </xdr:from>
    <xdr:to>
      <xdr:col>9</xdr:col>
      <xdr:colOff>342900</xdr:colOff>
      <xdr:row>271</xdr:row>
      <xdr:rowOff>76200</xdr:rowOff>
    </xdr:to>
    <xdr:cxnSp macro="">
      <xdr:nvCxnSpPr>
        <xdr:cNvPr id="29" name="直線矢印コネクタ 28">
          <a:extLst>
            <a:ext uri="{FF2B5EF4-FFF2-40B4-BE49-F238E27FC236}">
              <a16:creationId xmlns:a16="http://schemas.microsoft.com/office/drawing/2014/main" id="{00000000-0008-0000-0400-00001D000000}"/>
            </a:ext>
          </a:extLst>
        </xdr:cNvPr>
        <xdr:cNvCxnSpPr/>
      </xdr:nvCxnSpPr>
      <xdr:spPr>
        <a:xfrm flipV="1">
          <a:off x="3457575" y="29556075"/>
          <a:ext cx="2009775" cy="1943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314325</xdr:colOff>
      <xdr:row>260</xdr:row>
      <xdr:rowOff>123825</xdr:rowOff>
    </xdr:from>
    <xdr:to>
      <xdr:col>12</xdr:col>
      <xdr:colOff>295275</xdr:colOff>
      <xdr:row>271</xdr:row>
      <xdr:rowOff>85725</xdr:rowOff>
    </xdr:to>
    <xdr:cxnSp macro="">
      <xdr:nvCxnSpPr>
        <xdr:cNvPr id="31" name="直線矢印コネクタ 30">
          <a:extLst>
            <a:ext uri="{FF2B5EF4-FFF2-40B4-BE49-F238E27FC236}">
              <a16:creationId xmlns:a16="http://schemas.microsoft.com/office/drawing/2014/main" id="{00000000-0008-0000-0400-00001F000000}"/>
            </a:ext>
          </a:extLst>
        </xdr:cNvPr>
        <xdr:cNvCxnSpPr/>
      </xdr:nvCxnSpPr>
      <xdr:spPr>
        <a:xfrm flipV="1">
          <a:off x="3467100" y="29527500"/>
          <a:ext cx="3924300" cy="19812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271</xdr:row>
      <xdr:rowOff>85725</xdr:rowOff>
    </xdr:from>
    <xdr:to>
      <xdr:col>6</xdr:col>
      <xdr:colOff>323850</xdr:colOff>
      <xdr:row>271</xdr:row>
      <xdr:rowOff>104775</xdr:rowOff>
    </xdr:to>
    <xdr:cxnSp macro="">
      <xdr:nvCxnSpPr>
        <xdr:cNvPr id="11265" name="直線矢印コネクタ 11264">
          <a:extLst>
            <a:ext uri="{FF2B5EF4-FFF2-40B4-BE49-F238E27FC236}">
              <a16:creationId xmlns:a16="http://schemas.microsoft.com/office/drawing/2014/main" id="{00000000-0008-0000-0400-0000012C0000}"/>
            </a:ext>
          </a:extLst>
        </xdr:cNvPr>
        <xdr:cNvCxnSpPr/>
      </xdr:nvCxnSpPr>
      <xdr:spPr>
        <a:xfrm flipH="1">
          <a:off x="1181100" y="31508700"/>
          <a:ext cx="2295525" cy="190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652463</xdr:colOff>
      <xdr:row>158</xdr:row>
      <xdr:rowOff>4763</xdr:rowOff>
    </xdr:from>
    <xdr:to>
      <xdr:col>5</xdr:col>
      <xdr:colOff>133350</xdr:colOff>
      <xdr:row>161</xdr:row>
      <xdr:rowOff>0</xdr:rowOff>
    </xdr:to>
    <xdr:cxnSp macro="">
      <xdr:nvCxnSpPr>
        <xdr:cNvPr id="12" name="直線コネクタ 11">
          <a:extLst>
            <a:ext uri="{FF2B5EF4-FFF2-40B4-BE49-F238E27FC236}">
              <a16:creationId xmlns:a16="http://schemas.microsoft.com/office/drawing/2014/main" id="{00000000-0008-0000-0400-00000C000000}"/>
            </a:ext>
          </a:extLst>
        </xdr:cNvPr>
        <xdr:cNvCxnSpPr/>
      </xdr:nvCxnSpPr>
      <xdr:spPr>
        <a:xfrm>
          <a:off x="2490788" y="15530513"/>
          <a:ext cx="138112" cy="53816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390525</xdr:colOff>
      <xdr:row>157</xdr:row>
      <xdr:rowOff>171450</xdr:rowOff>
    </xdr:from>
    <xdr:to>
      <xdr:col>5</xdr:col>
      <xdr:colOff>514350</xdr:colOff>
      <xdr:row>161</xdr:row>
      <xdr:rowOff>9525</xdr:rowOff>
    </xdr:to>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flipH="1">
          <a:off x="2886075" y="15516225"/>
          <a:ext cx="123825" cy="56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642937</xdr:colOff>
      <xdr:row>157</xdr:row>
      <xdr:rowOff>171450</xdr:rowOff>
    </xdr:from>
    <xdr:to>
      <xdr:col>5</xdr:col>
      <xdr:colOff>514350</xdr:colOff>
      <xdr:row>157</xdr:row>
      <xdr:rowOff>176212</xdr:rowOff>
    </xdr:to>
    <xdr:cxnSp macro="">
      <xdr:nvCxnSpPr>
        <xdr:cNvPr id="21" name="直線コネクタ 20">
          <a:extLst>
            <a:ext uri="{FF2B5EF4-FFF2-40B4-BE49-F238E27FC236}">
              <a16:creationId xmlns:a16="http://schemas.microsoft.com/office/drawing/2014/main" id="{00000000-0008-0000-0400-000015000000}"/>
            </a:ext>
          </a:extLst>
        </xdr:cNvPr>
        <xdr:cNvCxnSpPr/>
      </xdr:nvCxnSpPr>
      <xdr:spPr>
        <a:xfrm flipH="1">
          <a:off x="2481262" y="15516225"/>
          <a:ext cx="528638" cy="476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142876</xdr:colOff>
      <xdr:row>161</xdr:row>
      <xdr:rowOff>0</xdr:rowOff>
    </xdr:from>
    <xdr:to>
      <xdr:col>5</xdr:col>
      <xdr:colOff>390525</xdr:colOff>
      <xdr:row>161</xdr:row>
      <xdr:rowOff>0</xdr:rowOff>
    </xdr:to>
    <xdr:cxnSp macro="">
      <xdr:nvCxnSpPr>
        <xdr:cNvPr id="24" name="直線コネクタ 23">
          <a:extLst>
            <a:ext uri="{FF2B5EF4-FFF2-40B4-BE49-F238E27FC236}">
              <a16:creationId xmlns:a16="http://schemas.microsoft.com/office/drawing/2014/main" id="{00000000-0008-0000-0400-000018000000}"/>
            </a:ext>
          </a:extLst>
        </xdr:cNvPr>
        <xdr:cNvCxnSpPr/>
      </xdr:nvCxnSpPr>
      <xdr:spPr>
        <a:xfrm flipH="1">
          <a:off x="2638426" y="16068675"/>
          <a:ext cx="24764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652463</xdr:colOff>
      <xdr:row>159</xdr:row>
      <xdr:rowOff>33338</xdr:rowOff>
    </xdr:from>
    <xdr:to>
      <xdr:col>5</xdr:col>
      <xdr:colOff>209550</xdr:colOff>
      <xdr:row>160</xdr:row>
      <xdr:rowOff>0</xdr:rowOff>
    </xdr:to>
    <xdr:cxnSp macro="">
      <xdr:nvCxnSpPr>
        <xdr:cNvPr id="11266" name="直線矢印コネクタ 11265">
          <a:extLst>
            <a:ext uri="{FF2B5EF4-FFF2-40B4-BE49-F238E27FC236}">
              <a16:creationId xmlns:a16="http://schemas.microsoft.com/office/drawing/2014/main" id="{00000000-0008-0000-0400-0000022C0000}"/>
            </a:ext>
          </a:extLst>
        </xdr:cNvPr>
        <xdr:cNvCxnSpPr/>
      </xdr:nvCxnSpPr>
      <xdr:spPr>
        <a:xfrm flipV="1">
          <a:off x="2490788" y="15740063"/>
          <a:ext cx="214312" cy="14763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152400</xdr:colOff>
          <xdr:row>94</xdr:row>
          <xdr:rowOff>9525</xdr:rowOff>
        </xdr:from>
        <xdr:to>
          <xdr:col>12</xdr:col>
          <xdr:colOff>19050</xdr:colOff>
          <xdr:row>116</xdr:row>
          <xdr:rowOff>28575</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400-00001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419100</xdr:colOff>
      <xdr:row>128</xdr:row>
      <xdr:rowOff>104775</xdr:rowOff>
    </xdr:from>
    <xdr:to>
      <xdr:col>9</xdr:col>
      <xdr:colOff>600075</xdr:colOff>
      <xdr:row>128</xdr:row>
      <xdr:rowOff>114300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5543550" y="24050625"/>
          <a:ext cx="1809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647700</xdr:colOff>
      <xdr:row>131</xdr:row>
      <xdr:rowOff>38100</xdr:rowOff>
    </xdr:from>
    <xdr:to>
      <xdr:col>6</xdr:col>
      <xdr:colOff>209550</xdr:colOff>
      <xdr:row>134</xdr:row>
      <xdr:rowOff>28575</xdr:rowOff>
    </xdr:to>
    <xdr:cxnSp macro="">
      <xdr:nvCxnSpPr>
        <xdr:cNvPr id="25" name="直線矢印コネクタ 24">
          <a:extLst>
            <a:ext uri="{FF2B5EF4-FFF2-40B4-BE49-F238E27FC236}">
              <a16:creationId xmlns:a16="http://schemas.microsoft.com/office/drawing/2014/main" id="{00000000-0008-0000-0400-000019000000}"/>
            </a:ext>
          </a:extLst>
        </xdr:cNvPr>
        <xdr:cNvCxnSpPr/>
      </xdr:nvCxnSpPr>
      <xdr:spPr>
        <a:xfrm flipV="1">
          <a:off x="2486025" y="24536400"/>
          <a:ext cx="876300" cy="533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221</xdr:row>
      <xdr:rowOff>47625</xdr:rowOff>
    </xdr:from>
    <xdr:to>
      <xdr:col>8</xdr:col>
      <xdr:colOff>295275</xdr:colOff>
      <xdr:row>224</xdr:row>
      <xdr:rowOff>0</xdr:rowOff>
    </xdr:to>
    <xdr:cxnSp macro="">
      <xdr:nvCxnSpPr>
        <xdr:cNvPr id="17" name="直線矢印コネクタ 16">
          <a:extLst>
            <a:ext uri="{FF2B5EF4-FFF2-40B4-BE49-F238E27FC236}">
              <a16:creationId xmlns:a16="http://schemas.microsoft.com/office/drawing/2014/main" id="{00000000-0008-0000-0400-000011000000}"/>
            </a:ext>
          </a:extLst>
        </xdr:cNvPr>
        <xdr:cNvCxnSpPr/>
      </xdr:nvCxnSpPr>
      <xdr:spPr>
        <a:xfrm flipV="1">
          <a:off x="4467225" y="40928925"/>
          <a:ext cx="295275" cy="495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476250</xdr:colOff>
      <xdr:row>229</xdr:row>
      <xdr:rowOff>133350</xdr:rowOff>
    </xdr:from>
    <xdr:to>
      <xdr:col>4</xdr:col>
      <xdr:colOff>19050</xdr:colOff>
      <xdr:row>233</xdr:row>
      <xdr:rowOff>9525</xdr:rowOff>
    </xdr:to>
    <xdr:cxnSp macro="">
      <xdr:nvCxnSpPr>
        <xdr:cNvPr id="22" name="直線矢印コネクタ 21">
          <a:extLst>
            <a:ext uri="{FF2B5EF4-FFF2-40B4-BE49-F238E27FC236}">
              <a16:creationId xmlns:a16="http://schemas.microsoft.com/office/drawing/2014/main" id="{00000000-0008-0000-0400-000016000000}"/>
            </a:ext>
          </a:extLst>
        </xdr:cNvPr>
        <xdr:cNvCxnSpPr/>
      </xdr:nvCxnSpPr>
      <xdr:spPr>
        <a:xfrm flipH="1" flipV="1">
          <a:off x="1657350" y="42481500"/>
          <a:ext cx="200025" cy="619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504825</xdr:colOff>
      <xdr:row>229</xdr:row>
      <xdr:rowOff>85725</xdr:rowOff>
    </xdr:from>
    <xdr:to>
      <xdr:col>8</xdr:col>
      <xdr:colOff>647700</xdr:colOff>
      <xdr:row>231</xdr:row>
      <xdr:rowOff>171450</xdr:rowOff>
    </xdr:to>
    <xdr:cxnSp macro="">
      <xdr:nvCxnSpPr>
        <xdr:cNvPr id="28" name="直線矢印コネクタ 27">
          <a:extLst>
            <a:ext uri="{FF2B5EF4-FFF2-40B4-BE49-F238E27FC236}">
              <a16:creationId xmlns:a16="http://schemas.microsoft.com/office/drawing/2014/main" id="{00000000-0008-0000-0400-00001C000000}"/>
            </a:ext>
          </a:extLst>
        </xdr:cNvPr>
        <xdr:cNvCxnSpPr/>
      </xdr:nvCxnSpPr>
      <xdr:spPr>
        <a:xfrm flipH="1" flipV="1">
          <a:off x="4314825" y="42433875"/>
          <a:ext cx="800100" cy="4667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xdr:colOff>
      <xdr:row>230</xdr:row>
      <xdr:rowOff>133350</xdr:rowOff>
    </xdr:from>
    <xdr:to>
      <xdr:col>7</xdr:col>
      <xdr:colOff>247650</xdr:colOff>
      <xdr:row>233</xdr:row>
      <xdr:rowOff>28575</xdr:rowOff>
    </xdr:to>
    <xdr:cxnSp macro="">
      <xdr:nvCxnSpPr>
        <xdr:cNvPr id="11264" name="直線矢印コネクタ 11263">
          <a:extLst>
            <a:ext uri="{FF2B5EF4-FFF2-40B4-BE49-F238E27FC236}">
              <a16:creationId xmlns:a16="http://schemas.microsoft.com/office/drawing/2014/main" id="{00000000-0008-0000-0400-0000002C0000}"/>
            </a:ext>
          </a:extLst>
        </xdr:cNvPr>
        <xdr:cNvCxnSpPr/>
      </xdr:nvCxnSpPr>
      <xdr:spPr>
        <a:xfrm flipV="1">
          <a:off x="3829050" y="42672000"/>
          <a:ext cx="228600" cy="447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28575</xdr:colOff>
      <xdr:row>233</xdr:row>
      <xdr:rowOff>0</xdr:rowOff>
    </xdr:from>
    <xdr:to>
      <xdr:col>5</xdr:col>
      <xdr:colOff>342900</xdr:colOff>
      <xdr:row>233</xdr:row>
      <xdr:rowOff>9525</xdr:rowOff>
    </xdr:to>
    <xdr:cxnSp macro="">
      <xdr:nvCxnSpPr>
        <xdr:cNvPr id="11273" name="直線コネクタ 11272">
          <a:extLst>
            <a:ext uri="{FF2B5EF4-FFF2-40B4-BE49-F238E27FC236}">
              <a16:creationId xmlns:a16="http://schemas.microsoft.com/office/drawing/2014/main" id="{00000000-0008-0000-0400-0000092C0000}"/>
            </a:ext>
          </a:extLst>
        </xdr:cNvPr>
        <xdr:cNvCxnSpPr/>
      </xdr:nvCxnSpPr>
      <xdr:spPr>
        <a:xfrm>
          <a:off x="1866900" y="43091100"/>
          <a:ext cx="9715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428625</xdr:colOff>
      <xdr:row>241</xdr:row>
      <xdr:rowOff>85725</xdr:rowOff>
    </xdr:from>
    <xdr:to>
      <xdr:col>7</xdr:col>
      <xdr:colOff>0</xdr:colOff>
      <xdr:row>247</xdr:row>
      <xdr:rowOff>171450</xdr:rowOff>
    </xdr:to>
    <xdr:cxnSp macro="">
      <xdr:nvCxnSpPr>
        <xdr:cNvPr id="11275" name="直線矢印コネクタ 11274">
          <a:extLst>
            <a:ext uri="{FF2B5EF4-FFF2-40B4-BE49-F238E27FC236}">
              <a16:creationId xmlns:a16="http://schemas.microsoft.com/office/drawing/2014/main" id="{00000000-0008-0000-0400-00000B2C0000}"/>
            </a:ext>
          </a:extLst>
        </xdr:cNvPr>
        <xdr:cNvCxnSpPr/>
      </xdr:nvCxnSpPr>
      <xdr:spPr>
        <a:xfrm flipH="1" flipV="1">
          <a:off x="3581400" y="44681775"/>
          <a:ext cx="228600" cy="1181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238125</xdr:colOff>
      <xdr:row>241</xdr:row>
      <xdr:rowOff>85725</xdr:rowOff>
    </xdr:from>
    <xdr:to>
      <xdr:col>7</xdr:col>
      <xdr:colOff>466725</xdr:colOff>
      <xdr:row>247</xdr:row>
      <xdr:rowOff>171450</xdr:rowOff>
    </xdr:to>
    <xdr:cxnSp macro="">
      <xdr:nvCxnSpPr>
        <xdr:cNvPr id="45" name="直線矢印コネクタ 44">
          <a:extLst>
            <a:ext uri="{FF2B5EF4-FFF2-40B4-BE49-F238E27FC236}">
              <a16:creationId xmlns:a16="http://schemas.microsoft.com/office/drawing/2014/main" id="{00000000-0008-0000-0400-00002D000000}"/>
            </a:ext>
          </a:extLst>
        </xdr:cNvPr>
        <xdr:cNvCxnSpPr/>
      </xdr:nvCxnSpPr>
      <xdr:spPr>
        <a:xfrm flipH="1" flipV="1">
          <a:off x="4048125" y="44681775"/>
          <a:ext cx="228600" cy="1181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238125</xdr:colOff>
      <xdr:row>241</xdr:row>
      <xdr:rowOff>104775</xdr:rowOff>
    </xdr:from>
    <xdr:to>
      <xdr:col>8</xdr:col>
      <xdr:colOff>466725</xdr:colOff>
      <xdr:row>248</xdr:row>
      <xdr:rowOff>9525</xdr:rowOff>
    </xdr:to>
    <xdr:cxnSp macro="">
      <xdr:nvCxnSpPr>
        <xdr:cNvPr id="46" name="直線矢印コネクタ 45">
          <a:extLst>
            <a:ext uri="{FF2B5EF4-FFF2-40B4-BE49-F238E27FC236}">
              <a16:creationId xmlns:a16="http://schemas.microsoft.com/office/drawing/2014/main" id="{00000000-0008-0000-0400-00002E000000}"/>
            </a:ext>
          </a:extLst>
        </xdr:cNvPr>
        <xdr:cNvCxnSpPr/>
      </xdr:nvCxnSpPr>
      <xdr:spPr>
        <a:xfrm flipH="1" flipV="1">
          <a:off x="4705350" y="44700825"/>
          <a:ext cx="228600" cy="1181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228600</xdr:colOff>
      <xdr:row>241</xdr:row>
      <xdr:rowOff>85725</xdr:rowOff>
    </xdr:from>
    <xdr:to>
      <xdr:col>9</xdr:col>
      <xdr:colOff>457200</xdr:colOff>
      <xdr:row>247</xdr:row>
      <xdr:rowOff>171450</xdr:rowOff>
    </xdr:to>
    <xdr:cxnSp macro="">
      <xdr:nvCxnSpPr>
        <xdr:cNvPr id="47" name="直線矢印コネクタ 46">
          <a:extLst>
            <a:ext uri="{FF2B5EF4-FFF2-40B4-BE49-F238E27FC236}">
              <a16:creationId xmlns:a16="http://schemas.microsoft.com/office/drawing/2014/main" id="{00000000-0008-0000-0400-00002F000000}"/>
            </a:ext>
          </a:extLst>
        </xdr:cNvPr>
        <xdr:cNvCxnSpPr/>
      </xdr:nvCxnSpPr>
      <xdr:spPr>
        <a:xfrm flipH="1" flipV="1">
          <a:off x="5353050" y="44681775"/>
          <a:ext cx="228600" cy="1181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240</xdr:row>
      <xdr:rowOff>161925</xdr:rowOff>
    </xdr:from>
    <xdr:to>
      <xdr:col>2</xdr:col>
      <xdr:colOff>171450</xdr:colOff>
      <xdr:row>248</xdr:row>
      <xdr:rowOff>9525</xdr:rowOff>
    </xdr:to>
    <xdr:cxnSp macro="">
      <xdr:nvCxnSpPr>
        <xdr:cNvPr id="48" name="直線矢印コネクタ 47">
          <a:extLst>
            <a:ext uri="{FF2B5EF4-FFF2-40B4-BE49-F238E27FC236}">
              <a16:creationId xmlns:a16="http://schemas.microsoft.com/office/drawing/2014/main" id="{00000000-0008-0000-0400-000030000000}"/>
            </a:ext>
          </a:extLst>
        </xdr:cNvPr>
        <xdr:cNvCxnSpPr/>
      </xdr:nvCxnSpPr>
      <xdr:spPr>
        <a:xfrm flipV="1">
          <a:off x="523875" y="44577000"/>
          <a:ext cx="171450" cy="1304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240</xdr:row>
      <xdr:rowOff>114300</xdr:rowOff>
    </xdr:from>
    <xdr:to>
      <xdr:col>3</xdr:col>
      <xdr:colOff>276225</xdr:colOff>
      <xdr:row>247</xdr:row>
      <xdr:rowOff>171450</xdr:rowOff>
    </xdr:to>
    <xdr:cxnSp macro="">
      <xdr:nvCxnSpPr>
        <xdr:cNvPr id="49" name="直線矢印コネクタ 48">
          <a:extLst>
            <a:ext uri="{FF2B5EF4-FFF2-40B4-BE49-F238E27FC236}">
              <a16:creationId xmlns:a16="http://schemas.microsoft.com/office/drawing/2014/main" id="{00000000-0008-0000-0400-000031000000}"/>
            </a:ext>
          </a:extLst>
        </xdr:cNvPr>
        <xdr:cNvCxnSpPr/>
      </xdr:nvCxnSpPr>
      <xdr:spPr>
        <a:xfrm flipV="1">
          <a:off x="523875" y="44529375"/>
          <a:ext cx="933450" cy="13335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647700</xdr:colOff>
      <xdr:row>245</xdr:row>
      <xdr:rowOff>95250</xdr:rowOff>
    </xdr:from>
    <xdr:to>
      <xdr:col>6</xdr:col>
      <xdr:colOff>238125</xdr:colOff>
      <xdr:row>248</xdr:row>
      <xdr:rowOff>9525</xdr:rowOff>
    </xdr:to>
    <xdr:cxnSp macro="">
      <xdr:nvCxnSpPr>
        <xdr:cNvPr id="11277" name="直線矢印コネクタ 11276">
          <a:extLst>
            <a:ext uri="{FF2B5EF4-FFF2-40B4-BE49-F238E27FC236}">
              <a16:creationId xmlns:a16="http://schemas.microsoft.com/office/drawing/2014/main" id="{00000000-0008-0000-0400-00000D2C0000}"/>
            </a:ext>
          </a:extLst>
        </xdr:cNvPr>
        <xdr:cNvCxnSpPr/>
      </xdr:nvCxnSpPr>
      <xdr:spPr>
        <a:xfrm flipV="1">
          <a:off x="3143250" y="45415200"/>
          <a:ext cx="247650" cy="4667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xdr:colOff>
      <xdr:row>345</xdr:row>
      <xdr:rowOff>104775</xdr:rowOff>
    </xdr:from>
    <xdr:to>
      <xdr:col>6</xdr:col>
      <xdr:colOff>180975</xdr:colOff>
      <xdr:row>349</xdr:row>
      <xdr:rowOff>0</xdr:rowOff>
    </xdr:to>
    <xdr:cxnSp macro="">
      <xdr:nvCxnSpPr>
        <xdr:cNvPr id="11281" name="直線矢印コネクタ 11280">
          <a:extLst>
            <a:ext uri="{FF2B5EF4-FFF2-40B4-BE49-F238E27FC236}">
              <a16:creationId xmlns:a16="http://schemas.microsoft.com/office/drawing/2014/main" id="{00000000-0008-0000-0400-0000112C0000}"/>
            </a:ext>
          </a:extLst>
        </xdr:cNvPr>
        <xdr:cNvCxnSpPr/>
      </xdr:nvCxnSpPr>
      <xdr:spPr>
        <a:xfrm flipV="1">
          <a:off x="3162300" y="60969525"/>
          <a:ext cx="171450" cy="6286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8</xdr:col>
      <xdr:colOff>647700</xdr:colOff>
      <xdr:row>45</xdr:row>
      <xdr:rowOff>123825</xdr:rowOff>
    </xdr:to>
    <xdr:pic>
      <xdr:nvPicPr>
        <xdr:cNvPr id="5139" name="Picture 1">
          <a:extLst>
            <a:ext uri="{FF2B5EF4-FFF2-40B4-BE49-F238E27FC236}">
              <a16:creationId xmlns:a16="http://schemas.microsoft.com/office/drawing/2014/main" id="{00000000-0008-0000-0500-000013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238125"/>
          <a:ext cx="5448300" cy="80676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xdr:colOff>
      <xdr:row>3</xdr:row>
      <xdr:rowOff>0</xdr:rowOff>
    </xdr:from>
    <xdr:to>
      <xdr:col>5</xdr:col>
      <xdr:colOff>95250</xdr:colOff>
      <xdr:row>3</xdr:row>
      <xdr:rowOff>0</xdr:rowOff>
    </xdr:to>
    <xdr:sp macro="" textlink="">
      <xdr:nvSpPr>
        <xdr:cNvPr id="2993" name="Line 1">
          <a:extLst>
            <a:ext uri="{FF2B5EF4-FFF2-40B4-BE49-F238E27FC236}">
              <a16:creationId xmlns:a16="http://schemas.microsoft.com/office/drawing/2014/main" id="{00000000-0008-0000-0600-0000B10B0000}"/>
            </a:ext>
          </a:extLst>
        </xdr:cNvPr>
        <xdr:cNvSpPr>
          <a:spLocks noChangeShapeType="1"/>
        </xdr:cNvSpPr>
      </xdr:nvSpPr>
      <xdr:spPr bwMode="auto">
        <a:xfrm flipH="1">
          <a:off x="4248150" y="600075"/>
          <a:ext cx="85725" cy="0"/>
        </a:xfrm>
        <a:prstGeom prst="line">
          <a:avLst/>
        </a:prstGeom>
        <a:noFill/>
        <a:ln w="9525">
          <a:solidFill>
            <a:srgbClr val="000000"/>
          </a:solidFill>
          <a:round/>
          <a:headEnd/>
          <a:tailEnd/>
        </a:ln>
      </xdr:spPr>
    </xdr:sp>
    <xdr:clientData/>
  </xdr:twoCellAnchor>
  <xdr:twoCellAnchor>
    <xdr:from>
      <xdr:col>6</xdr:col>
      <xdr:colOff>95250</xdr:colOff>
      <xdr:row>17</xdr:row>
      <xdr:rowOff>0</xdr:rowOff>
    </xdr:from>
    <xdr:to>
      <xdr:col>6</xdr:col>
      <xdr:colOff>95250</xdr:colOff>
      <xdr:row>20</xdr:row>
      <xdr:rowOff>0</xdr:rowOff>
    </xdr:to>
    <xdr:sp macro="" textlink="">
      <xdr:nvSpPr>
        <xdr:cNvPr id="2994" name="Line 3">
          <a:extLst>
            <a:ext uri="{FF2B5EF4-FFF2-40B4-BE49-F238E27FC236}">
              <a16:creationId xmlns:a16="http://schemas.microsoft.com/office/drawing/2014/main" id="{00000000-0008-0000-0600-0000B20B0000}"/>
            </a:ext>
          </a:extLst>
        </xdr:cNvPr>
        <xdr:cNvSpPr>
          <a:spLocks noChangeShapeType="1"/>
        </xdr:cNvSpPr>
      </xdr:nvSpPr>
      <xdr:spPr bwMode="auto">
        <a:xfrm>
          <a:off x="5153025" y="3400425"/>
          <a:ext cx="0" cy="600075"/>
        </a:xfrm>
        <a:prstGeom prst="line">
          <a:avLst/>
        </a:prstGeom>
        <a:noFill/>
        <a:ln w="9525">
          <a:solidFill>
            <a:srgbClr val="000000"/>
          </a:solidFill>
          <a:round/>
          <a:headEnd/>
          <a:tailEnd/>
        </a:ln>
      </xdr:spPr>
    </xdr:sp>
    <xdr:clientData/>
  </xdr:twoCellAnchor>
  <xdr:twoCellAnchor>
    <xdr:from>
      <xdr:col>6</xdr:col>
      <xdr:colOff>0</xdr:colOff>
      <xdr:row>17</xdr:row>
      <xdr:rowOff>0</xdr:rowOff>
    </xdr:from>
    <xdr:to>
      <xdr:col>6</xdr:col>
      <xdr:colOff>95250</xdr:colOff>
      <xdr:row>17</xdr:row>
      <xdr:rowOff>0</xdr:rowOff>
    </xdr:to>
    <xdr:sp macro="" textlink="">
      <xdr:nvSpPr>
        <xdr:cNvPr id="2995" name="Line 4">
          <a:extLst>
            <a:ext uri="{FF2B5EF4-FFF2-40B4-BE49-F238E27FC236}">
              <a16:creationId xmlns:a16="http://schemas.microsoft.com/office/drawing/2014/main" id="{00000000-0008-0000-0600-0000B30B0000}"/>
            </a:ext>
          </a:extLst>
        </xdr:cNvPr>
        <xdr:cNvSpPr>
          <a:spLocks noChangeShapeType="1"/>
        </xdr:cNvSpPr>
      </xdr:nvSpPr>
      <xdr:spPr bwMode="auto">
        <a:xfrm flipH="1">
          <a:off x="5057775" y="3400425"/>
          <a:ext cx="95250" cy="0"/>
        </a:xfrm>
        <a:prstGeom prst="line">
          <a:avLst/>
        </a:prstGeom>
        <a:noFill/>
        <a:ln w="9525">
          <a:solidFill>
            <a:srgbClr val="000000"/>
          </a:solidFill>
          <a:round/>
          <a:headEnd/>
          <a:tailEnd/>
        </a:ln>
      </xdr:spPr>
    </xdr:sp>
    <xdr:clientData/>
  </xdr:twoCellAnchor>
  <xdr:twoCellAnchor>
    <xdr:from>
      <xdr:col>6</xdr:col>
      <xdr:colOff>0</xdr:colOff>
      <xdr:row>20</xdr:row>
      <xdr:rowOff>0</xdr:rowOff>
    </xdr:from>
    <xdr:to>
      <xdr:col>6</xdr:col>
      <xdr:colOff>95250</xdr:colOff>
      <xdr:row>20</xdr:row>
      <xdr:rowOff>0</xdr:rowOff>
    </xdr:to>
    <xdr:sp macro="" textlink="">
      <xdr:nvSpPr>
        <xdr:cNvPr id="2996" name="Line 5">
          <a:extLst>
            <a:ext uri="{FF2B5EF4-FFF2-40B4-BE49-F238E27FC236}">
              <a16:creationId xmlns:a16="http://schemas.microsoft.com/office/drawing/2014/main" id="{00000000-0008-0000-0600-0000B40B0000}"/>
            </a:ext>
          </a:extLst>
        </xdr:cNvPr>
        <xdr:cNvSpPr>
          <a:spLocks noChangeShapeType="1"/>
        </xdr:cNvSpPr>
      </xdr:nvSpPr>
      <xdr:spPr bwMode="auto">
        <a:xfrm flipH="1">
          <a:off x="5057775" y="4000500"/>
          <a:ext cx="95250" cy="0"/>
        </a:xfrm>
        <a:prstGeom prst="line">
          <a:avLst/>
        </a:prstGeom>
        <a:noFill/>
        <a:ln w="9525">
          <a:solidFill>
            <a:srgbClr val="000000"/>
          </a:solidFill>
          <a:round/>
          <a:headEnd/>
          <a:tailEnd/>
        </a:ln>
      </xdr:spPr>
    </xdr:sp>
    <xdr:clientData/>
  </xdr:twoCellAnchor>
  <xdr:twoCellAnchor>
    <xdr:from>
      <xdr:col>5</xdr:col>
      <xdr:colOff>95250</xdr:colOff>
      <xdr:row>6</xdr:row>
      <xdr:rowOff>0</xdr:rowOff>
    </xdr:from>
    <xdr:to>
      <xdr:col>5</xdr:col>
      <xdr:colOff>95250</xdr:colOff>
      <xdr:row>9</xdr:row>
      <xdr:rowOff>0</xdr:rowOff>
    </xdr:to>
    <xdr:sp macro="" textlink="">
      <xdr:nvSpPr>
        <xdr:cNvPr id="2997" name="Line 6">
          <a:extLst>
            <a:ext uri="{FF2B5EF4-FFF2-40B4-BE49-F238E27FC236}">
              <a16:creationId xmlns:a16="http://schemas.microsoft.com/office/drawing/2014/main" id="{00000000-0008-0000-0600-0000B50B0000}"/>
            </a:ext>
          </a:extLst>
        </xdr:cNvPr>
        <xdr:cNvSpPr>
          <a:spLocks noChangeShapeType="1"/>
        </xdr:cNvSpPr>
      </xdr:nvSpPr>
      <xdr:spPr bwMode="auto">
        <a:xfrm>
          <a:off x="4333875" y="1200150"/>
          <a:ext cx="0" cy="600075"/>
        </a:xfrm>
        <a:prstGeom prst="line">
          <a:avLst/>
        </a:prstGeom>
        <a:noFill/>
        <a:ln w="9525">
          <a:solidFill>
            <a:srgbClr val="000000"/>
          </a:solidFill>
          <a:round/>
          <a:headEnd/>
          <a:tailEnd/>
        </a:ln>
      </xdr:spPr>
    </xdr:sp>
    <xdr:clientData/>
  </xdr:twoCellAnchor>
  <xdr:twoCellAnchor>
    <xdr:from>
      <xdr:col>5</xdr:col>
      <xdr:colOff>0</xdr:colOff>
      <xdr:row>6</xdr:row>
      <xdr:rowOff>0</xdr:rowOff>
    </xdr:from>
    <xdr:to>
      <xdr:col>5</xdr:col>
      <xdr:colOff>95250</xdr:colOff>
      <xdr:row>6</xdr:row>
      <xdr:rowOff>0</xdr:rowOff>
    </xdr:to>
    <xdr:sp macro="" textlink="">
      <xdr:nvSpPr>
        <xdr:cNvPr id="2998" name="Line 7">
          <a:extLst>
            <a:ext uri="{FF2B5EF4-FFF2-40B4-BE49-F238E27FC236}">
              <a16:creationId xmlns:a16="http://schemas.microsoft.com/office/drawing/2014/main" id="{00000000-0008-0000-0600-0000B60B0000}"/>
            </a:ext>
          </a:extLst>
        </xdr:cNvPr>
        <xdr:cNvSpPr>
          <a:spLocks noChangeShapeType="1"/>
        </xdr:cNvSpPr>
      </xdr:nvSpPr>
      <xdr:spPr bwMode="auto">
        <a:xfrm flipH="1">
          <a:off x="4238625" y="1200150"/>
          <a:ext cx="95250" cy="0"/>
        </a:xfrm>
        <a:prstGeom prst="line">
          <a:avLst/>
        </a:prstGeom>
        <a:noFill/>
        <a:ln w="9525">
          <a:solidFill>
            <a:srgbClr val="000000"/>
          </a:solidFill>
          <a:round/>
          <a:headEnd/>
          <a:tailEnd/>
        </a:ln>
      </xdr:spPr>
    </xdr:sp>
    <xdr:clientData/>
  </xdr:twoCellAnchor>
  <xdr:twoCellAnchor>
    <xdr:from>
      <xdr:col>5</xdr:col>
      <xdr:colOff>0</xdr:colOff>
      <xdr:row>9</xdr:row>
      <xdr:rowOff>0</xdr:rowOff>
    </xdr:from>
    <xdr:to>
      <xdr:col>5</xdr:col>
      <xdr:colOff>95250</xdr:colOff>
      <xdr:row>9</xdr:row>
      <xdr:rowOff>0</xdr:rowOff>
    </xdr:to>
    <xdr:sp macro="" textlink="">
      <xdr:nvSpPr>
        <xdr:cNvPr id="2999" name="Line 8">
          <a:extLst>
            <a:ext uri="{FF2B5EF4-FFF2-40B4-BE49-F238E27FC236}">
              <a16:creationId xmlns:a16="http://schemas.microsoft.com/office/drawing/2014/main" id="{00000000-0008-0000-0600-0000B70B0000}"/>
            </a:ext>
          </a:extLst>
        </xdr:cNvPr>
        <xdr:cNvSpPr>
          <a:spLocks noChangeShapeType="1"/>
        </xdr:cNvSpPr>
      </xdr:nvSpPr>
      <xdr:spPr bwMode="auto">
        <a:xfrm flipH="1">
          <a:off x="4238625" y="1800225"/>
          <a:ext cx="95250" cy="0"/>
        </a:xfrm>
        <a:prstGeom prst="line">
          <a:avLst/>
        </a:prstGeom>
        <a:noFill/>
        <a:ln w="9525">
          <a:solidFill>
            <a:srgbClr val="000000"/>
          </a:solidFill>
          <a:round/>
          <a:headEnd/>
          <a:tailEnd/>
        </a:ln>
      </xdr:spPr>
    </xdr:sp>
    <xdr:clientData/>
  </xdr:twoCellAnchor>
  <xdr:twoCellAnchor>
    <xdr:from>
      <xdr:col>6</xdr:col>
      <xdr:colOff>95250</xdr:colOff>
      <xdr:row>21</xdr:row>
      <xdr:rowOff>0</xdr:rowOff>
    </xdr:from>
    <xdr:to>
      <xdr:col>6</xdr:col>
      <xdr:colOff>95250</xdr:colOff>
      <xdr:row>24</xdr:row>
      <xdr:rowOff>0</xdr:rowOff>
    </xdr:to>
    <xdr:sp macro="" textlink="">
      <xdr:nvSpPr>
        <xdr:cNvPr id="3000" name="Line 9">
          <a:extLst>
            <a:ext uri="{FF2B5EF4-FFF2-40B4-BE49-F238E27FC236}">
              <a16:creationId xmlns:a16="http://schemas.microsoft.com/office/drawing/2014/main" id="{00000000-0008-0000-0600-0000B80B0000}"/>
            </a:ext>
          </a:extLst>
        </xdr:cNvPr>
        <xdr:cNvSpPr>
          <a:spLocks noChangeShapeType="1"/>
        </xdr:cNvSpPr>
      </xdr:nvSpPr>
      <xdr:spPr bwMode="auto">
        <a:xfrm>
          <a:off x="5153025" y="4200525"/>
          <a:ext cx="0" cy="600075"/>
        </a:xfrm>
        <a:prstGeom prst="line">
          <a:avLst/>
        </a:prstGeom>
        <a:noFill/>
        <a:ln w="9525">
          <a:solidFill>
            <a:srgbClr val="000000"/>
          </a:solidFill>
          <a:round/>
          <a:headEnd/>
          <a:tailEnd/>
        </a:ln>
      </xdr:spPr>
    </xdr:sp>
    <xdr:clientData/>
  </xdr:twoCellAnchor>
  <xdr:twoCellAnchor>
    <xdr:from>
      <xdr:col>6</xdr:col>
      <xdr:colOff>95250</xdr:colOff>
      <xdr:row>25</xdr:row>
      <xdr:rowOff>0</xdr:rowOff>
    </xdr:from>
    <xdr:to>
      <xdr:col>6</xdr:col>
      <xdr:colOff>95250</xdr:colOff>
      <xdr:row>28</xdr:row>
      <xdr:rowOff>0</xdr:rowOff>
    </xdr:to>
    <xdr:sp macro="" textlink="">
      <xdr:nvSpPr>
        <xdr:cNvPr id="3001" name="Line 10">
          <a:extLst>
            <a:ext uri="{FF2B5EF4-FFF2-40B4-BE49-F238E27FC236}">
              <a16:creationId xmlns:a16="http://schemas.microsoft.com/office/drawing/2014/main" id="{00000000-0008-0000-0600-0000B90B0000}"/>
            </a:ext>
          </a:extLst>
        </xdr:cNvPr>
        <xdr:cNvSpPr>
          <a:spLocks noChangeShapeType="1"/>
        </xdr:cNvSpPr>
      </xdr:nvSpPr>
      <xdr:spPr bwMode="auto">
        <a:xfrm>
          <a:off x="5153025" y="5000625"/>
          <a:ext cx="0" cy="600075"/>
        </a:xfrm>
        <a:prstGeom prst="line">
          <a:avLst/>
        </a:prstGeom>
        <a:noFill/>
        <a:ln w="9525">
          <a:solidFill>
            <a:srgbClr val="000000"/>
          </a:solidFill>
          <a:round/>
          <a:headEnd/>
          <a:tailEnd/>
        </a:ln>
      </xdr:spPr>
    </xdr:sp>
    <xdr:clientData/>
  </xdr:twoCellAnchor>
  <xdr:twoCellAnchor>
    <xdr:from>
      <xdr:col>6</xdr:col>
      <xdr:colOff>0</xdr:colOff>
      <xdr:row>21</xdr:row>
      <xdr:rowOff>0</xdr:rowOff>
    </xdr:from>
    <xdr:to>
      <xdr:col>6</xdr:col>
      <xdr:colOff>95250</xdr:colOff>
      <xdr:row>21</xdr:row>
      <xdr:rowOff>0</xdr:rowOff>
    </xdr:to>
    <xdr:sp macro="" textlink="">
      <xdr:nvSpPr>
        <xdr:cNvPr id="3002" name="Line 11">
          <a:extLst>
            <a:ext uri="{FF2B5EF4-FFF2-40B4-BE49-F238E27FC236}">
              <a16:creationId xmlns:a16="http://schemas.microsoft.com/office/drawing/2014/main" id="{00000000-0008-0000-0600-0000BA0B0000}"/>
            </a:ext>
          </a:extLst>
        </xdr:cNvPr>
        <xdr:cNvSpPr>
          <a:spLocks noChangeShapeType="1"/>
        </xdr:cNvSpPr>
      </xdr:nvSpPr>
      <xdr:spPr bwMode="auto">
        <a:xfrm flipH="1">
          <a:off x="5057775" y="4200525"/>
          <a:ext cx="95250" cy="0"/>
        </a:xfrm>
        <a:prstGeom prst="line">
          <a:avLst/>
        </a:prstGeom>
        <a:noFill/>
        <a:ln w="9525">
          <a:solidFill>
            <a:srgbClr val="000000"/>
          </a:solidFill>
          <a:round/>
          <a:headEnd/>
          <a:tailEnd/>
        </a:ln>
      </xdr:spPr>
    </xdr:sp>
    <xdr:clientData/>
  </xdr:twoCellAnchor>
  <xdr:twoCellAnchor>
    <xdr:from>
      <xdr:col>6</xdr:col>
      <xdr:colOff>9525</xdr:colOff>
      <xdr:row>24</xdr:row>
      <xdr:rowOff>0</xdr:rowOff>
    </xdr:from>
    <xdr:to>
      <xdr:col>6</xdr:col>
      <xdr:colOff>95250</xdr:colOff>
      <xdr:row>24</xdr:row>
      <xdr:rowOff>0</xdr:rowOff>
    </xdr:to>
    <xdr:sp macro="" textlink="">
      <xdr:nvSpPr>
        <xdr:cNvPr id="3003" name="Line 12">
          <a:extLst>
            <a:ext uri="{FF2B5EF4-FFF2-40B4-BE49-F238E27FC236}">
              <a16:creationId xmlns:a16="http://schemas.microsoft.com/office/drawing/2014/main" id="{00000000-0008-0000-0600-0000BB0B0000}"/>
            </a:ext>
          </a:extLst>
        </xdr:cNvPr>
        <xdr:cNvSpPr>
          <a:spLocks noChangeShapeType="1"/>
        </xdr:cNvSpPr>
      </xdr:nvSpPr>
      <xdr:spPr bwMode="auto">
        <a:xfrm flipH="1">
          <a:off x="5067300" y="4800600"/>
          <a:ext cx="85725" cy="0"/>
        </a:xfrm>
        <a:prstGeom prst="line">
          <a:avLst/>
        </a:prstGeom>
        <a:noFill/>
        <a:ln w="9525">
          <a:solidFill>
            <a:srgbClr val="000000"/>
          </a:solidFill>
          <a:round/>
          <a:headEnd/>
          <a:tailEnd/>
        </a:ln>
      </xdr:spPr>
    </xdr:sp>
    <xdr:clientData/>
  </xdr:twoCellAnchor>
  <xdr:twoCellAnchor>
    <xdr:from>
      <xdr:col>6</xdr:col>
      <xdr:colOff>0</xdr:colOff>
      <xdr:row>25</xdr:row>
      <xdr:rowOff>0</xdr:rowOff>
    </xdr:from>
    <xdr:to>
      <xdr:col>6</xdr:col>
      <xdr:colOff>95250</xdr:colOff>
      <xdr:row>25</xdr:row>
      <xdr:rowOff>0</xdr:rowOff>
    </xdr:to>
    <xdr:sp macro="" textlink="">
      <xdr:nvSpPr>
        <xdr:cNvPr id="3004" name="Line 13">
          <a:extLst>
            <a:ext uri="{FF2B5EF4-FFF2-40B4-BE49-F238E27FC236}">
              <a16:creationId xmlns:a16="http://schemas.microsoft.com/office/drawing/2014/main" id="{00000000-0008-0000-0600-0000BC0B0000}"/>
            </a:ext>
          </a:extLst>
        </xdr:cNvPr>
        <xdr:cNvSpPr>
          <a:spLocks noChangeShapeType="1"/>
        </xdr:cNvSpPr>
      </xdr:nvSpPr>
      <xdr:spPr bwMode="auto">
        <a:xfrm flipH="1">
          <a:off x="5057775" y="5000625"/>
          <a:ext cx="9525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95250</xdr:colOff>
      <xdr:row>28</xdr:row>
      <xdr:rowOff>0</xdr:rowOff>
    </xdr:to>
    <xdr:sp macro="" textlink="">
      <xdr:nvSpPr>
        <xdr:cNvPr id="3005" name="Line 14">
          <a:extLst>
            <a:ext uri="{FF2B5EF4-FFF2-40B4-BE49-F238E27FC236}">
              <a16:creationId xmlns:a16="http://schemas.microsoft.com/office/drawing/2014/main" id="{00000000-0008-0000-0600-0000BD0B0000}"/>
            </a:ext>
          </a:extLst>
        </xdr:cNvPr>
        <xdr:cNvSpPr>
          <a:spLocks noChangeShapeType="1"/>
        </xdr:cNvSpPr>
      </xdr:nvSpPr>
      <xdr:spPr bwMode="auto">
        <a:xfrm flipH="1">
          <a:off x="5057775" y="5600700"/>
          <a:ext cx="95250" cy="0"/>
        </a:xfrm>
        <a:prstGeom prst="line">
          <a:avLst/>
        </a:prstGeom>
        <a:noFill/>
        <a:ln w="9525">
          <a:solidFill>
            <a:srgbClr val="000000"/>
          </a:solidFill>
          <a:round/>
          <a:headEnd/>
          <a:tailEnd/>
        </a:ln>
      </xdr:spPr>
    </xdr:sp>
    <xdr:clientData/>
  </xdr:twoCellAnchor>
  <xdr:twoCellAnchor>
    <xdr:from>
      <xdr:col>5</xdr:col>
      <xdr:colOff>95250</xdr:colOff>
      <xdr:row>3</xdr:row>
      <xdr:rowOff>0</xdr:rowOff>
    </xdr:from>
    <xdr:to>
      <xdr:col>5</xdr:col>
      <xdr:colOff>95250</xdr:colOff>
      <xdr:row>6</xdr:row>
      <xdr:rowOff>0</xdr:rowOff>
    </xdr:to>
    <xdr:sp macro="" textlink="">
      <xdr:nvSpPr>
        <xdr:cNvPr id="3006" name="Line 17">
          <a:extLst>
            <a:ext uri="{FF2B5EF4-FFF2-40B4-BE49-F238E27FC236}">
              <a16:creationId xmlns:a16="http://schemas.microsoft.com/office/drawing/2014/main" id="{00000000-0008-0000-0600-0000BE0B0000}"/>
            </a:ext>
          </a:extLst>
        </xdr:cNvPr>
        <xdr:cNvSpPr>
          <a:spLocks noChangeShapeType="1"/>
        </xdr:cNvSpPr>
      </xdr:nvSpPr>
      <xdr:spPr bwMode="auto">
        <a:xfrm>
          <a:off x="4333875" y="600075"/>
          <a:ext cx="0" cy="600075"/>
        </a:xfrm>
        <a:prstGeom prst="line">
          <a:avLst/>
        </a:prstGeom>
        <a:noFill/>
        <a:ln w="9525">
          <a:solidFill>
            <a:srgbClr val="000000"/>
          </a:solidFill>
          <a:round/>
          <a:headEnd/>
          <a:tailEnd/>
        </a:ln>
      </xdr:spPr>
    </xdr:sp>
    <xdr:clientData/>
  </xdr:twoCellAnchor>
  <xdr:twoCellAnchor>
    <xdr:from>
      <xdr:col>5</xdr:col>
      <xdr:colOff>9525</xdr:colOff>
      <xdr:row>6</xdr:row>
      <xdr:rowOff>0</xdr:rowOff>
    </xdr:from>
    <xdr:to>
      <xdr:col>5</xdr:col>
      <xdr:colOff>95250</xdr:colOff>
      <xdr:row>6</xdr:row>
      <xdr:rowOff>0</xdr:rowOff>
    </xdr:to>
    <xdr:sp macro="" textlink="">
      <xdr:nvSpPr>
        <xdr:cNvPr id="3007" name="Line 18">
          <a:extLst>
            <a:ext uri="{FF2B5EF4-FFF2-40B4-BE49-F238E27FC236}">
              <a16:creationId xmlns:a16="http://schemas.microsoft.com/office/drawing/2014/main" id="{00000000-0008-0000-0600-0000BF0B0000}"/>
            </a:ext>
          </a:extLst>
        </xdr:cNvPr>
        <xdr:cNvSpPr>
          <a:spLocks noChangeShapeType="1"/>
        </xdr:cNvSpPr>
      </xdr:nvSpPr>
      <xdr:spPr bwMode="auto">
        <a:xfrm>
          <a:off x="4248150" y="1200150"/>
          <a:ext cx="85725" cy="0"/>
        </a:xfrm>
        <a:prstGeom prst="line">
          <a:avLst/>
        </a:prstGeom>
        <a:noFill/>
        <a:ln w="9525">
          <a:solidFill>
            <a:srgbClr val="000000"/>
          </a:solidFill>
          <a:round/>
          <a:headEnd/>
          <a:tailEnd/>
        </a:ln>
      </xdr:spPr>
    </xdr:sp>
    <xdr:clientData/>
  </xdr:twoCellAnchor>
  <xdr:twoCellAnchor>
    <xdr:from>
      <xdr:col>5</xdr:col>
      <xdr:colOff>95250</xdr:colOff>
      <xdr:row>9</xdr:row>
      <xdr:rowOff>0</xdr:rowOff>
    </xdr:from>
    <xdr:to>
      <xdr:col>5</xdr:col>
      <xdr:colOff>95250</xdr:colOff>
      <xdr:row>11</xdr:row>
      <xdr:rowOff>0</xdr:rowOff>
    </xdr:to>
    <xdr:sp macro="" textlink="">
      <xdr:nvSpPr>
        <xdr:cNvPr id="3008" name="Line 19">
          <a:extLst>
            <a:ext uri="{FF2B5EF4-FFF2-40B4-BE49-F238E27FC236}">
              <a16:creationId xmlns:a16="http://schemas.microsoft.com/office/drawing/2014/main" id="{00000000-0008-0000-0600-0000C00B0000}"/>
            </a:ext>
          </a:extLst>
        </xdr:cNvPr>
        <xdr:cNvSpPr>
          <a:spLocks noChangeShapeType="1"/>
        </xdr:cNvSpPr>
      </xdr:nvSpPr>
      <xdr:spPr bwMode="auto">
        <a:xfrm>
          <a:off x="4333875" y="1800225"/>
          <a:ext cx="0" cy="400050"/>
        </a:xfrm>
        <a:prstGeom prst="line">
          <a:avLst/>
        </a:prstGeom>
        <a:noFill/>
        <a:ln w="9525">
          <a:solidFill>
            <a:srgbClr val="000000"/>
          </a:solidFill>
          <a:round/>
          <a:headEnd/>
          <a:tailEnd/>
        </a:ln>
      </xdr:spPr>
    </xdr:sp>
    <xdr:clientData/>
  </xdr:twoCellAnchor>
  <xdr:twoCellAnchor>
    <xdr:from>
      <xdr:col>5</xdr:col>
      <xdr:colOff>0</xdr:colOff>
      <xdr:row>9</xdr:row>
      <xdr:rowOff>0</xdr:rowOff>
    </xdr:from>
    <xdr:to>
      <xdr:col>5</xdr:col>
      <xdr:colOff>95250</xdr:colOff>
      <xdr:row>9</xdr:row>
      <xdr:rowOff>0</xdr:rowOff>
    </xdr:to>
    <xdr:sp macro="" textlink="">
      <xdr:nvSpPr>
        <xdr:cNvPr id="3009" name="Line 20">
          <a:extLst>
            <a:ext uri="{FF2B5EF4-FFF2-40B4-BE49-F238E27FC236}">
              <a16:creationId xmlns:a16="http://schemas.microsoft.com/office/drawing/2014/main" id="{00000000-0008-0000-0600-0000C10B0000}"/>
            </a:ext>
          </a:extLst>
        </xdr:cNvPr>
        <xdr:cNvSpPr>
          <a:spLocks noChangeShapeType="1"/>
        </xdr:cNvSpPr>
      </xdr:nvSpPr>
      <xdr:spPr bwMode="auto">
        <a:xfrm flipH="1">
          <a:off x="4238625" y="1800225"/>
          <a:ext cx="95250" cy="0"/>
        </a:xfrm>
        <a:prstGeom prst="line">
          <a:avLst/>
        </a:prstGeom>
        <a:noFill/>
        <a:ln w="9525">
          <a:solidFill>
            <a:srgbClr val="000000"/>
          </a:solidFill>
          <a:round/>
          <a:headEnd/>
          <a:tailEnd/>
        </a:ln>
      </xdr:spPr>
    </xdr:sp>
    <xdr:clientData/>
  </xdr:twoCellAnchor>
  <xdr:twoCellAnchor>
    <xdr:from>
      <xdr:col>5</xdr:col>
      <xdr:colOff>0</xdr:colOff>
      <xdr:row>11</xdr:row>
      <xdr:rowOff>0</xdr:rowOff>
    </xdr:from>
    <xdr:to>
      <xdr:col>5</xdr:col>
      <xdr:colOff>95250</xdr:colOff>
      <xdr:row>11</xdr:row>
      <xdr:rowOff>0</xdr:rowOff>
    </xdr:to>
    <xdr:sp macro="" textlink="">
      <xdr:nvSpPr>
        <xdr:cNvPr id="3010" name="Line 21">
          <a:extLst>
            <a:ext uri="{FF2B5EF4-FFF2-40B4-BE49-F238E27FC236}">
              <a16:creationId xmlns:a16="http://schemas.microsoft.com/office/drawing/2014/main" id="{00000000-0008-0000-0600-0000C20B0000}"/>
            </a:ext>
          </a:extLst>
        </xdr:cNvPr>
        <xdr:cNvSpPr>
          <a:spLocks noChangeShapeType="1"/>
        </xdr:cNvSpPr>
      </xdr:nvSpPr>
      <xdr:spPr bwMode="auto">
        <a:xfrm flipH="1">
          <a:off x="4238625" y="2200275"/>
          <a:ext cx="95250" cy="0"/>
        </a:xfrm>
        <a:prstGeom prst="line">
          <a:avLst/>
        </a:prstGeom>
        <a:noFill/>
        <a:ln w="9525">
          <a:solidFill>
            <a:srgbClr val="000000"/>
          </a:solidFill>
          <a:round/>
          <a:headEnd/>
          <a:tailEnd/>
        </a:ln>
      </xdr:spPr>
    </xdr:sp>
    <xdr:clientData/>
  </xdr:twoCellAnchor>
  <xdr:twoCellAnchor>
    <xdr:from>
      <xdr:col>5</xdr:col>
      <xdr:colOff>9525</xdr:colOff>
      <xdr:row>3</xdr:row>
      <xdr:rowOff>0</xdr:rowOff>
    </xdr:from>
    <xdr:to>
      <xdr:col>5</xdr:col>
      <xdr:colOff>95250</xdr:colOff>
      <xdr:row>3</xdr:row>
      <xdr:rowOff>0</xdr:rowOff>
    </xdr:to>
    <xdr:sp macro="" textlink="">
      <xdr:nvSpPr>
        <xdr:cNvPr id="3011" name="Line 22">
          <a:extLst>
            <a:ext uri="{FF2B5EF4-FFF2-40B4-BE49-F238E27FC236}">
              <a16:creationId xmlns:a16="http://schemas.microsoft.com/office/drawing/2014/main" id="{00000000-0008-0000-0600-0000C30B0000}"/>
            </a:ext>
          </a:extLst>
        </xdr:cNvPr>
        <xdr:cNvSpPr>
          <a:spLocks noChangeShapeType="1"/>
        </xdr:cNvSpPr>
      </xdr:nvSpPr>
      <xdr:spPr bwMode="auto">
        <a:xfrm flipH="1">
          <a:off x="4248150" y="600075"/>
          <a:ext cx="85725" cy="0"/>
        </a:xfrm>
        <a:prstGeom prst="line">
          <a:avLst/>
        </a:prstGeom>
        <a:noFill/>
        <a:ln w="9525">
          <a:solidFill>
            <a:srgbClr val="000000"/>
          </a:solidFill>
          <a:round/>
          <a:headEnd/>
          <a:tailEnd/>
        </a:ln>
      </xdr:spPr>
    </xdr:sp>
    <xdr:clientData/>
  </xdr:twoCellAnchor>
  <xdr:twoCellAnchor>
    <xdr:from>
      <xdr:col>6</xdr:col>
      <xdr:colOff>95250</xdr:colOff>
      <xdr:row>17</xdr:row>
      <xdr:rowOff>0</xdr:rowOff>
    </xdr:from>
    <xdr:to>
      <xdr:col>6</xdr:col>
      <xdr:colOff>95250</xdr:colOff>
      <xdr:row>20</xdr:row>
      <xdr:rowOff>0</xdr:rowOff>
    </xdr:to>
    <xdr:sp macro="" textlink="">
      <xdr:nvSpPr>
        <xdr:cNvPr id="3012" name="Line 24">
          <a:extLst>
            <a:ext uri="{FF2B5EF4-FFF2-40B4-BE49-F238E27FC236}">
              <a16:creationId xmlns:a16="http://schemas.microsoft.com/office/drawing/2014/main" id="{00000000-0008-0000-0600-0000C40B0000}"/>
            </a:ext>
          </a:extLst>
        </xdr:cNvPr>
        <xdr:cNvSpPr>
          <a:spLocks noChangeShapeType="1"/>
        </xdr:cNvSpPr>
      </xdr:nvSpPr>
      <xdr:spPr bwMode="auto">
        <a:xfrm>
          <a:off x="5153025" y="3400425"/>
          <a:ext cx="0" cy="600075"/>
        </a:xfrm>
        <a:prstGeom prst="line">
          <a:avLst/>
        </a:prstGeom>
        <a:noFill/>
        <a:ln w="9525">
          <a:solidFill>
            <a:srgbClr val="000000"/>
          </a:solidFill>
          <a:round/>
          <a:headEnd/>
          <a:tailEnd/>
        </a:ln>
      </xdr:spPr>
    </xdr:sp>
    <xdr:clientData/>
  </xdr:twoCellAnchor>
  <xdr:twoCellAnchor>
    <xdr:from>
      <xdr:col>6</xdr:col>
      <xdr:colOff>0</xdr:colOff>
      <xdr:row>17</xdr:row>
      <xdr:rowOff>0</xdr:rowOff>
    </xdr:from>
    <xdr:to>
      <xdr:col>6</xdr:col>
      <xdr:colOff>95250</xdr:colOff>
      <xdr:row>17</xdr:row>
      <xdr:rowOff>0</xdr:rowOff>
    </xdr:to>
    <xdr:sp macro="" textlink="">
      <xdr:nvSpPr>
        <xdr:cNvPr id="3013" name="Line 25">
          <a:extLst>
            <a:ext uri="{FF2B5EF4-FFF2-40B4-BE49-F238E27FC236}">
              <a16:creationId xmlns:a16="http://schemas.microsoft.com/office/drawing/2014/main" id="{00000000-0008-0000-0600-0000C50B0000}"/>
            </a:ext>
          </a:extLst>
        </xdr:cNvPr>
        <xdr:cNvSpPr>
          <a:spLocks noChangeShapeType="1"/>
        </xdr:cNvSpPr>
      </xdr:nvSpPr>
      <xdr:spPr bwMode="auto">
        <a:xfrm flipH="1">
          <a:off x="5057775" y="3400425"/>
          <a:ext cx="95250" cy="0"/>
        </a:xfrm>
        <a:prstGeom prst="line">
          <a:avLst/>
        </a:prstGeom>
        <a:noFill/>
        <a:ln w="9525">
          <a:solidFill>
            <a:srgbClr val="000000"/>
          </a:solidFill>
          <a:round/>
          <a:headEnd/>
          <a:tailEnd/>
        </a:ln>
      </xdr:spPr>
    </xdr:sp>
    <xdr:clientData/>
  </xdr:twoCellAnchor>
  <xdr:twoCellAnchor>
    <xdr:from>
      <xdr:col>6</xdr:col>
      <xdr:colOff>0</xdr:colOff>
      <xdr:row>20</xdr:row>
      <xdr:rowOff>0</xdr:rowOff>
    </xdr:from>
    <xdr:to>
      <xdr:col>6</xdr:col>
      <xdr:colOff>95250</xdr:colOff>
      <xdr:row>20</xdr:row>
      <xdr:rowOff>0</xdr:rowOff>
    </xdr:to>
    <xdr:sp macro="" textlink="">
      <xdr:nvSpPr>
        <xdr:cNvPr id="3014" name="Line 26">
          <a:extLst>
            <a:ext uri="{FF2B5EF4-FFF2-40B4-BE49-F238E27FC236}">
              <a16:creationId xmlns:a16="http://schemas.microsoft.com/office/drawing/2014/main" id="{00000000-0008-0000-0600-0000C60B0000}"/>
            </a:ext>
          </a:extLst>
        </xdr:cNvPr>
        <xdr:cNvSpPr>
          <a:spLocks noChangeShapeType="1"/>
        </xdr:cNvSpPr>
      </xdr:nvSpPr>
      <xdr:spPr bwMode="auto">
        <a:xfrm flipH="1">
          <a:off x="5057775" y="4000500"/>
          <a:ext cx="95250" cy="0"/>
        </a:xfrm>
        <a:prstGeom prst="line">
          <a:avLst/>
        </a:prstGeom>
        <a:noFill/>
        <a:ln w="9525">
          <a:solidFill>
            <a:srgbClr val="000000"/>
          </a:solidFill>
          <a:round/>
          <a:headEnd/>
          <a:tailEnd/>
        </a:ln>
      </xdr:spPr>
    </xdr:sp>
    <xdr:clientData/>
  </xdr:twoCellAnchor>
  <xdr:twoCellAnchor>
    <xdr:from>
      <xdr:col>5</xdr:col>
      <xdr:colOff>95250</xdr:colOff>
      <xdr:row>6</xdr:row>
      <xdr:rowOff>0</xdr:rowOff>
    </xdr:from>
    <xdr:to>
      <xdr:col>5</xdr:col>
      <xdr:colOff>95250</xdr:colOff>
      <xdr:row>9</xdr:row>
      <xdr:rowOff>0</xdr:rowOff>
    </xdr:to>
    <xdr:sp macro="" textlink="">
      <xdr:nvSpPr>
        <xdr:cNvPr id="3015" name="Line 27">
          <a:extLst>
            <a:ext uri="{FF2B5EF4-FFF2-40B4-BE49-F238E27FC236}">
              <a16:creationId xmlns:a16="http://schemas.microsoft.com/office/drawing/2014/main" id="{00000000-0008-0000-0600-0000C70B0000}"/>
            </a:ext>
          </a:extLst>
        </xdr:cNvPr>
        <xdr:cNvSpPr>
          <a:spLocks noChangeShapeType="1"/>
        </xdr:cNvSpPr>
      </xdr:nvSpPr>
      <xdr:spPr bwMode="auto">
        <a:xfrm>
          <a:off x="4333875" y="1200150"/>
          <a:ext cx="0" cy="600075"/>
        </a:xfrm>
        <a:prstGeom prst="line">
          <a:avLst/>
        </a:prstGeom>
        <a:noFill/>
        <a:ln w="9525">
          <a:solidFill>
            <a:srgbClr val="000000"/>
          </a:solidFill>
          <a:round/>
          <a:headEnd/>
          <a:tailEnd/>
        </a:ln>
      </xdr:spPr>
    </xdr:sp>
    <xdr:clientData/>
  </xdr:twoCellAnchor>
  <xdr:twoCellAnchor>
    <xdr:from>
      <xdr:col>5</xdr:col>
      <xdr:colOff>0</xdr:colOff>
      <xdr:row>6</xdr:row>
      <xdr:rowOff>0</xdr:rowOff>
    </xdr:from>
    <xdr:to>
      <xdr:col>5</xdr:col>
      <xdr:colOff>95250</xdr:colOff>
      <xdr:row>6</xdr:row>
      <xdr:rowOff>0</xdr:rowOff>
    </xdr:to>
    <xdr:sp macro="" textlink="">
      <xdr:nvSpPr>
        <xdr:cNvPr id="3016" name="Line 28">
          <a:extLst>
            <a:ext uri="{FF2B5EF4-FFF2-40B4-BE49-F238E27FC236}">
              <a16:creationId xmlns:a16="http://schemas.microsoft.com/office/drawing/2014/main" id="{00000000-0008-0000-0600-0000C80B0000}"/>
            </a:ext>
          </a:extLst>
        </xdr:cNvPr>
        <xdr:cNvSpPr>
          <a:spLocks noChangeShapeType="1"/>
        </xdr:cNvSpPr>
      </xdr:nvSpPr>
      <xdr:spPr bwMode="auto">
        <a:xfrm flipH="1">
          <a:off x="4238625" y="1200150"/>
          <a:ext cx="95250" cy="0"/>
        </a:xfrm>
        <a:prstGeom prst="line">
          <a:avLst/>
        </a:prstGeom>
        <a:noFill/>
        <a:ln w="9525">
          <a:solidFill>
            <a:srgbClr val="000000"/>
          </a:solidFill>
          <a:round/>
          <a:headEnd/>
          <a:tailEnd/>
        </a:ln>
      </xdr:spPr>
    </xdr:sp>
    <xdr:clientData/>
  </xdr:twoCellAnchor>
  <xdr:twoCellAnchor>
    <xdr:from>
      <xdr:col>5</xdr:col>
      <xdr:colOff>0</xdr:colOff>
      <xdr:row>9</xdr:row>
      <xdr:rowOff>0</xdr:rowOff>
    </xdr:from>
    <xdr:to>
      <xdr:col>5</xdr:col>
      <xdr:colOff>95250</xdr:colOff>
      <xdr:row>9</xdr:row>
      <xdr:rowOff>0</xdr:rowOff>
    </xdr:to>
    <xdr:sp macro="" textlink="">
      <xdr:nvSpPr>
        <xdr:cNvPr id="3017" name="Line 29">
          <a:extLst>
            <a:ext uri="{FF2B5EF4-FFF2-40B4-BE49-F238E27FC236}">
              <a16:creationId xmlns:a16="http://schemas.microsoft.com/office/drawing/2014/main" id="{00000000-0008-0000-0600-0000C90B0000}"/>
            </a:ext>
          </a:extLst>
        </xdr:cNvPr>
        <xdr:cNvSpPr>
          <a:spLocks noChangeShapeType="1"/>
        </xdr:cNvSpPr>
      </xdr:nvSpPr>
      <xdr:spPr bwMode="auto">
        <a:xfrm flipH="1">
          <a:off x="4238625" y="1800225"/>
          <a:ext cx="95250" cy="0"/>
        </a:xfrm>
        <a:prstGeom prst="line">
          <a:avLst/>
        </a:prstGeom>
        <a:noFill/>
        <a:ln w="9525">
          <a:solidFill>
            <a:srgbClr val="000000"/>
          </a:solidFill>
          <a:round/>
          <a:headEnd/>
          <a:tailEnd/>
        </a:ln>
      </xdr:spPr>
    </xdr:sp>
    <xdr:clientData/>
  </xdr:twoCellAnchor>
  <xdr:twoCellAnchor>
    <xdr:from>
      <xdr:col>6</xdr:col>
      <xdr:colOff>95250</xdr:colOff>
      <xdr:row>21</xdr:row>
      <xdr:rowOff>0</xdr:rowOff>
    </xdr:from>
    <xdr:to>
      <xdr:col>6</xdr:col>
      <xdr:colOff>95250</xdr:colOff>
      <xdr:row>24</xdr:row>
      <xdr:rowOff>0</xdr:rowOff>
    </xdr:to>
    <xdr:sp macro="" textlink="">
      <xdr:nvSpPr>
        <xdr:cNvPr id="3018" name="Line 30">
          <a:extLst>
            <a:ext uri="{FF2B5EF4-FFF2-40B4-BE49-F238E27FC236}">
              <a16:creationId xmlns:a16="http://schemas.microsoft.com/office/drawing/2014/main" id="{00000000-0008-0000-0600-0000CA0B0000}"/>
            </a:ext>
          </a:extLst>
        </xdr:cNvPr>
        <xdr:cNvSpPr>
          <a:spLocks noChangeShapeType="1"/>
        </xdr:cNvSpPr>
      </xdr:nvSpPr>
      <xdr:spPr bwMode="auto">
        <a:xfrm>
          <a:off x="5153025" y="4200525"/>
          <a:ext cx="0" cy="600075"/>
        </a:xfrm>
        <a:prstGeom prst="line">
          <a:avLst/>
        </a:prstGeom>
        <a:noFill/>
        <a:ln w="9525">
          <a:solidFill>
            <a:srgbClr val="000000"/>
          </a:solidFill>
          <a:round/>
          <a:headEnd/>
          <a:tailEnd/>
        </a:ln>
      </xdr:spPr>
    </xdr:sp>
    <xdr:clientData/>
  </xdr:twoCellAnchor>
  <xdr:twoCellAnchor>
    <xdr:from>
      <xdr:col>6</xdr:col>
      <xdr:colOff>95250</xdr:colOff>
      <xdr:row>25</xdr:row>
      <xdr:rowOff>0</xdr:rowOff>
    </xdr:from>
    <xdr:to>
      <xdr:col>6</xdr:col>
      <xdr:colOff>95250</xdr:colOff>
      <xdr:row>28</xdr:row>
      <xdr:rowOff>0</xdr:rowOff>
    </xdr:to>
    <xdr:sp macro="" textlink="">
      <xdr:nvSpPr>
        <xdr:cNvPr id="3019" name="Line 31">
          <a:extLst>
            <a:ext uri="{FF2B5EF4-FFF2-40B4-BE49-F238E27FC236}">
              <a16:creationId xmlns:a16="http://schemas.microsoft.com/office/drawing/2014/main" id="{00000000-0008-0000-0600-0000CB0B0000}"/>
            </a:ext>
          </a:extLst>
        </xdr:cNvPr>
        <xdr:cNvSpPr>
          <a:spLocks noChangeShapeType="1"/>
        </xdr:cNvSpPr>
      </xdr:nvSpPr>
      <xdr:spPr bwMode="auto">
        <a:xfrm>
          <a:off x="5153025" y="5000625"/>
          <a:ext cx="0" cy="600075"/>
        </a:xfrm>
        <a:prstGeom prst="line">
          <a:avLst/>
        </a:prstGeom>
        <a:noFill/>
        <a:ln w="9525">
          <a:solidFill>
            <a:srgbClr val="000000"/>
          </a:solidFill>
          <a:round/>
          <a:headEnd/>
          <a:tailEnd/>
        </a:ln>
      </xdr:spPr>
    </xdr:sp>
    <xdr:clientData/>
  </xdr:twoCellAnchor>
  <xdr:twoCellAnchor>
    <xdr:from>
      <xdr:col>6</xdr:col>
      <xdr:colOff>0</xdr:colOff>
      <xdr:row>21</xdr:row>
      <xdr:rowOff>0</xdr:rowOff>
    </xdr:from>
    <xdr:to>
      <xdr:col>6</xdr:col>
      <xdr:colOff>95250</xdr:colOff>
      <xdr:row>21</xdr:row>
      <xdr:rowOff>0</xdr:rowOff>
    </xdr:to>
    <xdr:sp macro="" textlink="">
      <xdr:nvSpPr>
        <xdr:cNvPr id="3020" name="Line 32">
          <a:extLst>
            <a:ext uri="{FF2B5EF4-FFF2-40B4-BE49-F238E27FC236}">
              <a16:creationId xmlns:a16="http://schemas.microsoft.com/office/drawing/2014/main" id="{00000000-0008-0000-0600-0000CC0B0000}"/>
            </a:ext>
          </a:extLst>
        </xdr:cNvPr>
        <xdr:cNvSpPr>
          <a:spLocks noChangeShapeType="1"/>
        </xdr:cNvSpPr>
      </xdr:nvSpPr>
      <xdr:spPr bwMode="auto">
        <a:xfrm flipH="1">
          <a:off x="5057775" y="4200525"/>
          <a:ext cx="95250" cy="0"/>
        </a:xfrm>
        <a:prstGeom prst="line">
          <a:avLst/>
        </a:prstGeom>
        <a:noFill/>
        <a:ln w="9525">
          <a:solidFill>
            <a:srgbClr val="000000"/>
          </a:solidFill>
          <a:round/>
          <a:headEnd/>
          <a:tailEnd/>
        </a:ln>
      </xdr:spPr>
    </xdr:sp>
    <xdr:clientData/>
  </xdr:twoCellAnchor>
  <xdr:twoCellAnchor>
    <xdr:from>
      <xdr:col>6</xdr:col>
      <xdr:colOff>9525</xdr:colOff>
      <xdr:row>24</xdr:row>
      <xdr:rowOff>0</xdr:rowOff>
    </xdr:from>
    <xdr:to>
      <xdr:col>6</xdr:col>
      <xdr:colOff>95250</xdr:colOff>
      <xdr:row>24</xdr:row>
      <xdr:rowOff>0</xdr:rowOff>
    </xdr:to>
    <xdr:sp macro="" textlink="">
      <xdr:nvSpPr>
        <xdr:cNvPr id="3021" name="Line 33">
          <a:extLst>
            <a:ext uri="{FF2B5EF4-FFF2-40B4-BE49-F238E27FC236}">
              <a16:creationId xmlns:a16="http://schemas.microsoft.com/office/drawing/2014/main" id="{00000000-0008-0000-0600-0000CD0B0000}"/>
            </a:ext>
          </a:extLst>
        </xdr:cNvPr>
        <xdr:cNvSpPr>
          <a:spLocks noChangeShapeType="1"/>
        </xdr:cNvSpPr>
      </xdr:nvSpPr>
      <xdr:spPr bwMode="auto">
        <a:xfrm flipH="1">
          <a:off x="5067300" y="4800600"/>
          <a:ext cx="85725" cy="0"/>
        </a:xfrm>
        <a:prstGeom prst="line">
          <a:avLst/>
        </a:prstGeom>
        <a:noFill/>
        <a:ln w="9525">
          <a:solidFill>
            <a:srgbClr val="000000"/>
          </a:solidFill>
          <a:round/>
          <a:headEnd/>
          <a:tailEnd/>
        </a:ln>
      </xdr:spPr>
    </xdr:sp>
    <xdr:clientData/>
  </xdr:twoCellAnchor>
  <xdr:twoCellAnchor>
    <xdr:from>
      <xdr:col>6</xdr:col>
      <xdr:colOff>0</xdr:colOff>
      <xdr:row>25</xdr:row>
      <xdr:rowOff>0</xdr:rowOff>
    </xdr:from>
    <xdr:to>
      <xdr:col>6</xdr:col>
      <xdr:colOff>95250</xdr:colOff>
      <xdr:row>25</xdr:row>
      <xdr:rowOff>0</xdr:rowOff>
    </xdr:to>
    <xdr:sp macro="" textlink="">
      <xdr:nvSpPr>
        <xdr:cNvPr id="3022" name="Line 34">
          <a:extLst>
            <a:ext uri="{FF2B5EF4-FFF2-40B4-BE49-F238E27FC236}">
              <a16:creationId xmlns:a16="http://schemas.microsoft.com/office/drawing/2014/main" id="{00000000-0008-0000-0600-0000CE0B0000}"/>
            </a:ext>
          </a:extLst>
        </xdr:cNvPr>
        <xdr:cNvSpPr>
          <a:spLocks noChangeShapeType="1"/>
        </xdr:cNvSpPr>
      </xdr:nvSpPr>
      <xdr:spPr bwMode="auto">
        <a:xfrm flipH="1">
          <a:off x="5057775" y="5000625"/>
          <a:ext cx="95250" cy="0"/>
        </a:xfrm>
        <a:prstGeom prst="line">
          <a:avLst/>
        </a:prstGeom>
        <a:noFill/>
        <a:ln w="9525">
          <a:solidFill>
            <a:srgbClr val="000000"/>
          </a:solidFill>
          <a:round/>
          <a:headEnd/>
          <a:tailEnd/>
        </a:ln>
      </xdr:spPr>
    </xdr:sp>
    <xdr:clientData/>
  </xdr:twoCellAnchor>
  <xdr:twoCellAnchor>
    <xdr:from>
      <xdr:col>6</xdr:col>
      <xdr:colOff>0</xdr:colOff>
      <xdr:row>28</xdr:row>
      <xdr:rowOff>0</xdr:rowOff>
    </xdr:from>
    <xdr:to>
      <xdr:col>6</xdr:col>
      <xdr:colOff>95250</xdr:colOff>
      <xdr:row>28</xdr:row>
      <xdr:rowOff>0</xdr:rowOff>
    </xdr:to>
    <xdr:sp macro="" textlink="">
      <xdr:nvSpPr>
        <xdr:cNvPr id="3023" name="Line 35">
          <a:extLst>
            <a:ext uri="{FF2B5EF4-FFF2-40B4-BE49-F238E27FC236}">
              <a16:creationId xmlns:a16="http://schemas.microsoft.com/office/drawing/2014/main" id="{00000000-0008-0000-0600-0000CF0B0000}"/>
            </a:ext>
          </a:extLst>
        </xdr:cNvPr>
        <xdr:cNvSpPr>
          <a:spLocks noChangeShapeType="1"/>
        </xdr:cNvSpPr>
      </xdr:nvSpPr>
      <xdr:spPr bwMode="auto">
        <a:xfrm flipH="1">
          <a:off x="5057775" y="5600700"/>
          <a:ext cx="95250" cy="0"/>
        </a:xfrm>
        <a:prstGeom prst="line">
          <a:avLst/>
        </a:prstGeom>
        <a:noFill/>
        <a:ln w="9525">
          <a:solidFill>
            <a:srgbClr val="000000"/>
          </a:solidFill>
          <a:round/>
          <a:headEnd/>
          <a:tailEnd/>
        </a:ln>
      </xdr:spPr>
    </xdr:sp>
    <xdr:clientData/>
  </xdr:twoCellAnchor>
  <xdr:twoCellAnchor>
    <xdr:from>
      <xdr:col>5</xdr:col>
      <xdr:colOff>95250</xdr:colOff>
      <xdr:row>9</xdr:row>
      <xdr:rowOff>0</xdr:rowOff>
    </xdr:from>
    <xdr:to>
      <xdr:col>5</xdr:col>
      <xdr:colOff>95250</xdr:colOff>
      <xdr:row>11</xdr:row>
      <xdr:rowOff>0</xdr:rowOff>
    </xdr:to>
    <xdr:sp macro="" textlink="">
      <xdr:nvSpPr>
        <xdr:cNvPr id="3024" name="Line 40">
          <a:extLst>
            <a:ext uri="{FF2B5EF4-FFF2-40B4-BE49-F238E27FC236}">
              <a16:creationId xmlns:a16="http://schemas.microsoft.com/office/drawing/2014/main" id="{00000000-0008-0000-0600-0000D00B0000}"/>
            </a:ext>
          </a:extLst>
        </xdr:cNvPr>
        <xdr:cNvSpPr>
          <a:spLocks noChangeShapeType="1"/>
        </xdr:cNvSpPr>
      </xdr:nvSpPr>
      <xdr:spPr bwMode="auto">
        <a:xfrm>
          <a:off x="4333875" y="1800225"/>
          <a:ext cx="0" cy="400050"/>
        </a:xfrm>
        <a:prstGeom prst="line">
          <a:avLst/>
        </a:prstGeom>
        <a:noFill/>
        <a:ln w="9525">
          <a:solidFill>
            <a:srgbClr val="000000"/>
          </a:solidFill>
          <a:round/>
          <a:headEnd/>
          <a:tailEnd/>
        </a:ln>
      </xdr:spPr>
    </xdr:sp>
    <xdr:clientData/>
  </xdr:twoCellAnchor>
  <xdr:twoCellAnchor>
    <xdr:from>
      <xdr:col>5</xdr:col>
      <xdr:colOff>0</xdr:colOff>
      <xdr:row>9</xdr:row>
      <xdr:rowOff>0</xdr:rowOff>
    </xdr:from>
    <xdr:to>
      <xdr:col>5</xdr:col>
      <xdr:colOff>95250</xdr:colOff>
      <xdr:row>9</xdr:row>
      <xdr:rowOff>0</xdr:rowOff>
    </xdr:to>
    <xdr:sp macro="" textlink="">
      <xdr:nvSpPr>
        <xdr:cNvPr id="3025" name="Line 41">
          <a:extLst>
            <a:ext uri="{FF2B5EF4-FFF2-40B4-BE49-F238E27FC236}">
              <a16:creationId xmlns:a16="http://schemas.microsoft.com/office/drawing/2014/main" id="{00000000-0008-0000-0600-0000D10B0000}"/>
            </a:ext>
          </a:extLst>
        </xdr:cNvPr>
        <xdr:cNvSpPr>
          <a:spLocks noChangeShapeType="1"/>
        </xdr:cNvSpPr>
      </xdr:nvSpPr>
      <xdr:spPr bwMode="auto">
        <a:xfrm flipH="1">
          <a:off x="4238625" y="1800225"/>
          <a:ext cx="95250" cy="0"/>
        </a:xfrm>
        <a:prstGeom prst="line">
          <a:avLst/>
        </a:prstGeom>
        <a:noFill/>
        <a:ln w="9525">
          <a:solidFill>
            <a:srgbClr val="000000"/>
          </a:solidFill>
          <a:round/>
          <a:headEnd/>
          <a:tailEnd/>
        </a:ln>
      </xdr:spPr>
    </xdr:sp>
    <xdr:clientData/>
  </xdr:twoCellAnchor>
  <xdr:twoCellAnchor>
    <xdr:from>
      <xdr:col>5</xdr:col>
      <xdr:colOff>85725</xdr:colOff>
      <xdr:row>11</xdr:row>
      <xdr:rowOff>19050</xdr:rowOff>
    </xdr:from>
    <xdr:to>
      <xdr:col>5</xdr:col>
      <xdr:colOff>85725</xdr:colOff>
      <xdr:row>15</xdr:row>
      <xdr:rowOff>171450</xdr:rowOff>
    </xdr:to>
    <xdr:sp macro="" textlink="">
      <xdr:nvSpPr>
        <xdr:cNvPr id="3026" name="Line 92">
          <a:extLst>
            <a:ext uri="{FF2B5EF4-FFF2-40B4-BE49-F238E27FC236}">
              <a16:creationId xmlns:a16="http://schemas.microsoft.com/office/drawing/2014/main" id="{00000000-0008-0000-0600-0000D20B0000}"/>
            </a:ext>
          </a:extLst>
        </xdr:cNvPr>
        <xdr:cNvSpPr>
          <a:spLocks noChangeShapeType="1"/>
        </xdr:cNvSpPr>
      </xdr:nvSpPr>
      <xdr:spPr bwMode="auto">
        <a:xfrm>
          <a:off x="4324350" y="2219325"/>
          <a:ext cx="0" cy="952500"/>
        </a:xfrm>
        <a:prstGeom prst="line">
          <a:avLst/>
        </a:prstGeom>
        <a:noFill/>
        <a:ln w="9525">
          <a:solidFill>
            <a:srgbClr val="000000"/>
          </a:solidFill>
          <a:round/>
          <a:headEnd/>
          <a:tailEnd/>
        </a:ln>
      </xdr:spPr>
    </xdr:sp>
    <xdr:clientData/>
  </xdr:twoCellAnchor>
  <xdr:twoCellAnchor>
    <xdr:from>
      <xdr:col>4</xdr:col>
      <xdr:colOff>800100</xdr:colOff>
      <xdr:row>11</xdr:row>
      <xdr:rowOff>9525</xdr:rowOff>
    </xdr:from>
    <xdr:to>
      <xdr:col>5</xdr:col>
      <xdr:colOff>76200</xdr:colOff>
      <xdr:row>11</xdr:row>
      <xdr:rowOff>9525</xdr:rowOff>
    </xdr:to>
    <xdr:sp macro="" textlink="">
      <xdr:nvSpPr>
        <xdr:cNvPr id="3027" name="Line 98">
          <a:extLst>
            <a:ext uri="{FF2B5EF4-FFF2-40B4-BE49-F238E27FC236}">
              <a16:creationId xmlns:a16="http://schemas.microsoft.com/office/drawing/2014/main" id="{00000000-0008-0000-0600-0000D30B0000}"/>
            </a:ext>
          </a:extLst>
        </xdr:cNvPr>
        <xdr:cNvSpPr>
          <a:spLocks noChangeShapeType="1"/>
        </xdr:cNvSpPr>
      </xdr:nvSpPr>
      <xdr:spPr bwMode="auto">
        <a:xfrm flipH="1">
          <a:off x="4219575" y="2209800"/>
          <a:ext cx="95250" cy="0"/>
        </a:xfrm>
        <a:prstGeom prst="line">
          <a:avLst/>
        </a:prstGeom>
        <a:noFill/>
        <a:ln w="9525">
          <a:solidFill>
            <a:srgbClr val="000000"/>
          </a:solidFill>
          <a:round/>
          <a:headEnd/>
          <a:tailEnd/>
        </a:ln>
      </xdr:spPr>
    </xdr:sp>
    <xdr:clientData/>
  </xdr:twoCellAnchor>
  <xdr:twoCellAnchor>
    <xdr:from>
      <xdr:col>4</xdr:col>
      <xdr:colOff>809625</xdr:colOff>
      <xdr:row>15</xdr:row>
      <xdr:rowOff>171450</xdr:rowOff>
    </xdr:from>
    <xdr:to>
      <xdr:col>5</xdr:col>
      <xdr:colOff>76200</xdr:colOff>
      <xdr:row>15</xdr:row>
      <xdr:rowOff>171450</xdr:rowOff>
    </xdr:to>
    <xdr:sp macro="" textlink="">
      <xdr:nvSpPr>
        <xdr:cNvPr id="3028" name="Line 99">
          <a:extLst>
            <a:ext uri="{FF2B5EF4-FFF2-40B4-BE49-F238E27FC236}">
              <a16:creationId xmlns:a16="http://schemas.microsoft.com/office/drawing/2014/main" id="{00000000-0008-0000-0600-0000D40B0000}"/>
            </a:ext>
          </a:extLst>
        </xdr:cNvPr>
        <xdr:cNvSpPr>
          <a:spLocks noChangeShapeType="1"/>
        </xdr:cNvSpPr>
      </xdr:nvSpPr>
      <xdr:spPr bwMode="auto">
        <a:xfrm flipH="1">
          <a:off x="4229100" y="3171825"/>
          <a:ext cx="85725" cy="0"/>
        </a:xfrm>
        <a:prstGeom prst="line">
          <a:avLst/>
        </a:prstGeom>
        <a:noFill/>
        <a:ln w="9525">
          <a:solidFill>
            <a:srgbClr val="000000"/>
          </a:solidFill>
          <a:round/>
          <a:headEnd/>
          <a:tailEnd/>
        </a:ln>
      </xdr:spPr>
    </xdr:sp>
    <xdr:clientData/>
  </xdr:twoCellAnchor>
  <xdr:twoCellAnchor>
    <xdr:from>
      <xdr:col>6</xdr:col>
      <xdr:colOff>95250</xdr:colOff>
      <xdr:row>29</xdr:row>
      <xdr:rowOff>0</xdr:rowOff>
    </xdr:from>
    <xdr:to>
      <xdr:col>6</xdr:col>
      <xdr:colOff>95250</xdr:colOff>
      <xdr:row>32</xdr:row>
      <xdr:rowOff>0</xdr:rowOff>
    </xdr:to>
    <xdr:sp macro="" textlink="">
      <xdr:nvSpPr>
        <xdr:cNvPr id="3029" name="Line 110">
          <a:extLst>
            <a:ext uri="{FF2B5EF4-FFF2-40B4-BE49-F238E27FC236}">
              <a16:creationId xmlns:a16="http://schemas.microsoft.com/office/drawing/2014/main" id="{00000000-0008-0000-0600-0000D50B0000}"/>
            </a:ext>
          </a:extLst>
        </xdr:cNvPr>
        <xdr:cNvSpPr>
          <a:spLocks noChangeShapeType="1"/>
        </xdr:cNvSpPr>
      </xdr:nvSpPr>
      <xdr:spPr bwMode="auto">
        <a:xfrm>
          <a:off x="5153025" y="5800725"/>
          <a:ext cx="0" cy="600075"/>
        </a:xfrm>
        <a:prstGeom prst="line">
          <a:avLst/>
        </a:prstGeom>
        <a:noFill/>
        <a:ln w="9525">
          <a:solidFill>
            <a:srgbClr val="000000"/>
          </a:solidFill>
          <a:round/>
          <a:headEnd/>
          <a:tailEnd/>
        </a:ln>
      </xdr:spPr>
    </xdr:sp>
    <xdr:clientData/>
  </xdr:twoCellAnchor>
  <xdr:twoCellAnchor>
    <xdr:from>
      <xdr:col>6</xdr:col>
      <xdr:colOff>95250</xdr:colOff>
      <xdr:row>29</xdr:row>
      <xdr:rowOff>0</xdr:rowOff>
    </xdr:from>
    <xdr:to>
      <xdr:col>6</xdr:col>
      <xdr:colOff>95250</xdr:colOff>
      <xdr:row>32</xdr:row>
      <xdr:rowOff>0</xdr:rowOff>
    </xdr:to>
    <xdr:sp macro="" textlink="">
      <xdr:nvSpPr>
        <xdr:cNvPr id="3030" name="Line 111">
          <a:extLst>
            <a:ext uri="{FF2B5EF4-FFF2-40B4-BE49-F238E27FC236}">
              <a16:creationId xmlns:a16="http://schemas.microsoft.com/office/drawing/2014/main" id="{00000000-0008-0000-0600-0000D60B0000}"/>
            </a:ext>
          </a:extLst>
        </xdr:cNvPr>
        <xdr:cNvSpPr>
          <a:spLocks noChangeShapeType="1"/>
        </xdr:cNvSpPr>
      </xdr:nvSpPr>
      <xdr:spPr bwMode="auto">
        <a:xfrm>
          <a:off x="5153025" y="5800725"/>
          <a:ext cx="0" cy="600075"/>
        </a:xfrm>
        <a:prstGeom prst="line">
          <a:avLst/>
        </a:prstGeom>
        <a:noFill/>
        <a:ln w="9525">
          <a:solidFill>
            <a:srgbClr val="000000"/>
          </a:solidFill>
          <a:round/>
          <a:headEnd/>
          <a:tailEnd/>
        </a:ln>
      </xdr:spPr>
    </xdr:sp>
    <xdr:clientData/>
  </xdr:twoCellAnchor>
  <xdr:twoCellAnchor>
    <xdr:from>
      <xdr:col>6</xdr:col>
      <xdr:colOff>95250</xdr:colOff>
      <xdr:row>33</xdr:row>
      <xdr:rowOff>0</xdr:rowOff>
    </xdr:from>
    <xdr:to>
      <xdr:col>6</xdr:col>
      <xdr:colOff>95250</xdr:colOff>
      <xdr:row>36</xdr:row>
      <xdr:rowOff>0</xdr:rowOff>
    </xdr:to>
    <xdr:sp macro="" textlink="">
      <xdr:nvSpPr>
        <xdr:cNvPr id="3031" name="Line 112">
          <a:extLst>
            <a:ext uri="{FF2B5EF4-FFF2-40B4-BE49-F238E27FC236}">
              <a16:creationId xmlns:a16="http://schemas.microsoft.com/office/drawing/2014/main" id="{00000000-0008-0000-0600-0000D70B0000}"/>
            </a:ext>
          </a:extLst>
        </xdr:cNvPr>
        <xdr:cNvSpPr>
          <a:spLocks noChangeShapeType="1"/>
        </xdr:cNvSpPr>
      </xdr:nvSpPr>
      <xdr:spPr bwMode="auto">
        <a:xfrm>
          <a:off x="5153025" y="6600825"/>
          <a:ext cx="0" cy="600075"/>
        </a:xfrm>
        <a:prstGeom prst="line">
          <a:avLst/>
        </a:prstGeom>
        <a:noFill/>
        <a:ln w="9525">
          <a:solidFill>
            <a:srgbClr val="000000"/>
          </a:solidFill>
          <a:round/>
          <a:headEnd/>
          <a:tailEnd/>
        </a:ln>
      </xdr:spPr>
    </xdr:sp>
    <xdr:clientData/>
  </xdr:twoCellAnchor>
  <xdr:twoCellAnchor>
    <xdr:from>
      <xdr:col>6</xdr:col>
      <xdr:colOff>95250</xdr:colOff>
      <xdr:row>33</xdr:row>
      <xdr:rowOff>0</xdr:rowOff>
    </xdr:from>
    <xdr:to>
      <xdr:col>6</xdr:col>
      <xdr:colOff>95250</xdr:colOff>
      <xdr:row>36</xdr:row>
      <xdr:rowOff>0</xdr:rowOff>
    </xdr:to>
    <xdr:sp macro="" textlink="">
      <xdr:nvSpPr>
        <xdr:cNvPr id="3032" name="Line 113">
          <a:extLst>
            <a:ext uri="{FF2B5EF4-FFF2-40B4-BE49-F238E27FC236}">
              <a16:creationId xmlns:a16="http://schemas.microsoft.com/office/drawing/2014/main" id="{00000000-0008-0000-0600-0000D80B0000}"/>
            </a:ext>
          </a:extLst>
        </xdr:cNvPr>
        <xdr:cNvSpPr>
          <a:spLocks noChangeShapeType="1"/>
        </xdr:cNvSpPr>
      </xdr:nvSpPr>
      <xdr:spPr bwMode="auto">
        <a:xfrm>
          <a:off x="5153025" y="6600825"/>
          <a:ext cx="0" cy="600075"/>
        </a:xfrm>
        <a:prstGeom prst="line">
          <a:avLst/>
        </a:prstGeom>
        <a:noFill/>
        <a:ln w="9525">
          <a:solidFill>
            <a:srgbClr val="000000"/>
          </a:solidFill>
          <a:round/>
          <a:headEnd/>
          <a:tailEnd/>
        </a:ln>
      </xdr:spPr>
    </xdr:sp>
    <xdr:clientData/>
  </xdr:twoCellAnchor>
  <xdr:twoCellAnchor>
    <xdr:from>
      <xdr:col>6</xdr:col>
      <xdr:colOff>0</xdr:colOff>
      <xdr:row>29</xdr:row>
      <xdr:rowOff>0</xdr:rowOff>
    </xdr:from>
    <xdr:to>
      <xdr:col>6</xdr:col>
      <xdr:colOff>95250</xdr:colOff>
      <xdr:row>29</xdr:row>
      <xdr:rowOff>0</xdr:rowOff>
    </xdr:to>
    <xdr:sp macro="" textlink="">
      <xdr:nvSpPr>
        <xdr:cNvPr id="3033" name="Line 114">
          <a:extLst>
            <a:ext uri="{FF2B5EF4-FFF2-40B4-BE49-F238E27FC236}">
              <a16:creationId xmlns:a16="http://schemas.microsoft.com/office/drawing/2014/main" id="{00000000-0008-0000-0600-0000D90B0000}"/>
            </a:ext>
          </a:extLst>
        </xdr:cNvPr>
        <xdr:cNvSpPr>
          <a:spLocks noChangeShapeType="1"/>
        </xdr:cNvSpPr>
      </xdr:nvSpPr>
      <xdr:spPr bwMode="auto">
        <a:xfrm flipH="1">
          <a:off x="5057775" y="5800725"/>
          <a:ext cx="95250" cy="0"/>
        </a:xfrm>
        <a:prstGeom prst="line">
          <a:avLst/>
        </a:prstGeom>
        <a:noFill/>
        <a:ln w="9525">
          <a:solidFill>
            <a:srgbClr val="000000"/>
          </a:solidFill>
          <a:round/>
          <a:headEnd/>
          <a:tailEnd/>
        </a:ln>
      </xdr:spPr>
    </xdr:sp>
    <xdr:clientData/>
  </xdr:twoCellAnchor>
  <xdr:twoCellAnchor>
    <xdr:from>
      <xdr:col>6</xdr:col>
      <xdr:colOff>0</xdr:colOff>
      <xdr:row>29</xdr:row>
      <xdr:rowOff>0</xdr:rowOff>
    </xdr:from>
    <xdr:to>
      <xdr:col>6</xdr:col>
      <xdr:colOff>95250</xdr:colOff>
      <xdr:row>29</xdr:row>
      <xdr:rowOff>0</xdr:rowOff>
    </xdr:to>
    <xdr:sp macro="" textlink="">
      <xdr:nvSpPr>
        <xdr:cNvPr id="3034" name="Line 115">
          <a:extLst>
            <a:ext uri="{FF2B5EF4-FFF2-40B4-BE49-F238E27FC236}">
              <a16:creationId xmlns:a16="http://schemas.microsoft.com/office/drawing/2014/main" id="{00000000-0008-0000-0600-0000DA0B0000}"/>
            </a:ext>
          </a:extLst>
        </xdr:cNvPr>
        <xdr:cNvSpPr>
          <a:spLocks noChangeShapeType="1"/>
        </xdr:cNvSpPr>
      </xdr:nvSpPr>
      <xdr:spPr bwMode="auto">
        <a:xfrm flipH="1">
          <a:off x="5057775" y="5800725"/>
          <a:ext cx="95250" cy="0"/>
        </a:xfrm>
        <a:prstGeom prst="line">
          <a:avLst/>
        </a:prstGeom>
        <a:noFill/>
        <a:ln w="9525">
          <a:solidFill>
            <a:srgbClr val="000000"/>
          </a:solidFill>
          <a:round/>
          <a:headEnd/>
          <a:tailEnd/>
        </a:ln>
      </xdr:spPr>
    </xdr:sp>
    <xdr:clientData/>
  </xdr:twoCellAnchor>
  <xdr:twoCellAnchor>
    <xdr:from>
      <xdr:col>6</xdr:col>
      <xdr:colOff>0</xdr:colOff>
      <xdr:row>33</xdr:row>
      <xdr:rowOff>0</xdr:rowOff>
    </xdr:from>
    <xdr:to>
      <xdr:col>6</xdr:col>
      <xdr:colOff>95250</xdr:colOff>
      <xdr:row>33</xdr:row>
      <xdr:rowOff>0</xdr:rowOff>
    </xdr:to>
    <xdr:sp macro="" textlink="">
      <xdr:nvSpPr>
        <xdr:cNvPr id="3035" name="Line 116">
          <a:extLst>
            <a:ext uri="{FF2B5EF4-FFF2-40B4-BE49-F238E27FC236}">
              <a16:creationId xmlns:a16="http://schemas.microsoft.com/office/drawing/2014/main" id="{00000000-0008-0000-0600-0000DB0B0000}"/>
            </a:ext>
          </a:extLst>
        </xdr:cNvPr>
        <xdr:cNvSpPr>
          <a:spLocks noChangeShapeType="1"/>
        </xdr:cNvSpPr>
      </xdr:nvSpPr>
      <xdr:spPr bwMode="auto">
        <a:xfrm flipH="1">
          <a:off x="5057775" y="6600825"/>
          <a:ext cx="95250" cy="0"/>
        </a:xfrm>
        <a:prstGeom prst="line">
          <a:avLst/>
        </a:prstGeom>
        <a:noFill/>
        <a:ln w="9525">
          <a:solidFill>
            <a:srgbClr val="000000"/>
          </a:solidFill>
          <a:round/>
          <a:headEnd/>
          <a:tailEnd/>
        </a:ln>
      </xdr:spPr>
    </xdr:sp>
    <xdr:clientData/>
  </xdr:twoCellAnchor>
  <xdr:twoCellAnchor>
    <xdr:from>
      <xdr:col>6</xdr:col>
      <xdr:colOff>0</xdr:colOff>
      <xdr:row>33</xdr:row>
      <xdr:rowOff>0</xdr:rowOff>
    </xdr:from>
    <xdr:to>
      <xdr:col>6</xdr:col>
      <xdr:colOff>95250</xdr:colOff>
      <xdr:row>33</xdr:row>
      <xdr:rowOff>0</xdr:rowOff>
    </xdr:to>
    <xdr:sp macro="" textlink="">
      <xdr:nvSpPr>
        <xdr:cNvPr id="3036" name="Line 117">
          <a:extLst>
            <a:ext uri="{FF2B5EF4-FFF2-40B4-BE49-F238E27FC236}">
              <a16:creationId xmlns:a16="http://schemas.microsoft.com/office/drawing/2014/main" id="{00000000-0008-0000-0600-0000DC0B0000}"/>
            </a:ext>
          </a:extLst>
        </xdr:cNvPr>
        <xdr:cNvSpPr>
          <a:spLocks noChangeShapeType="1"/>
        </xdr:cNvSpPr>
      </xdr:nvSpPr>
      <xdr:spPr bwMode="auto">
        <a:xfrm flipH="1">
          <a:off x="5057775" y="6600825"/>
          <a:ext cx="9525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95250</xdr:colOff>
      <xdr:row>32</xdr:row>
      <xdr:rowOff>0</xdr:rowOff>
    </xdr:to>
    <xdr:sp macro="" textlink="">
      <xdr:nvSpPr>
        <xdr:cNvPr id="3037" name="Line 118">
          <a:extLst>
            <a:ext uri="{FF2B5EF4-FFF2-40B4-BE49-F238E27FC236}">
              <a16:creationId xmlns:a16="http://schemas.microsoft.com/office/drawing/2014/main" id="{00000000-0008-0000-0600-0000DD0B0000}"/>
            </a:ext>
          </a:extLst>
        </xdr:cNvPr>
        <xdr:cNvSpPr>
          <a:spLocks noChangeShapeType="1"/>
        </xdr:cNvSpPr>
      </xdr:nvSpPr>
      <xdr:spPr bwMode="auto">
        <a:xfrm flipH="1">
          <a:off x="5057775" y="6400800"/>
          <a:ext cx="9525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95250</xdr:colOff>
      <xdr:row>32</xdr:row>
      <xdr:rowOff>0</xdr:rowOff>
    </xdr:to>
    <xdr:sp macro="" textlink="">
      <xdr:nvSpPr>
        <xdr:cNvPr id="3038" name="Line 119">
          <a:extLst>
            <a:ext uri="{FF2B5EF4-FFF2-40B4-BE49-F238E27FC236}">
              <a16:creationId xmlns:a16="http://schemas.microsoft.com/office/drawing/2014/main" id="{00000000-0008-0000-0600-0000DE0B0000}"/>
            </a:ext>
          </a:extLst>
        </xdr:cNvPr>
        <xdr:cNvSpPr>
          <a:spLocks noChangeShapeType="1"/>
        </xdr:cNvSpPr>
      </xdr:nvSpPr>
      <xdr:spPr bwMode="auto">
        <a:xfrm flipH="1">
          <a:off x="5057775" y="6400800"/>
          <a:ext cx="95250" cy="0"/>
        </a:xfrm>
        <a:prstGeom prst="line">
          <a:avLst/>
        </a:prstGeom>
        <a:noFill/>
        <a:ln w="9525">
          <a:solidFill>
            <a:srgbClr val="000000"/>
          </a:solidFill>
          <a:round/>
          <a:headEnd/>
          <a:tailEnd/>
        </a:ln>
      </xdr:spPr>
    </xdr:sp>
    <xdr:clientData/>
  </xdr:twoCellAnchor>
  <xdr:twoCellAnchor>
    <xdr:from>
      <xdr:col>6</xdr:col>
      <xdr:colOff>0</xdr:colOff>
      <xdr:row>36</xdr:row>
      <xdr:rowOff>0</xdr:rowOff>
    </xdr:from>
    <xdr:to>
      <xdr:col>6</xdr:col>
      <xdr:colOff>95250</xdr:colOff>
      <xdr:row>36</xdr:row>
      <xdr:rowOff>0</xdr:rowOff>
    </xdr:to>
    <xdr:sp macro="" textlink="">
      <xdr:nvSpPr>
        <xdr:cNvPr id="3039" name="Line 120">
          <a:extLst>
            <a:ext uri="{FF2B5EF4-FFF2-40B4-BE49-F238E27FC236}">
              <a16:creationId xmlns:a16="http://schemas.microsoft.com/office/drawing/2014/main" id="{00000000-0008-0000-0600-0000DF0B0000}"/>
            </a:ext>
          </a:extLst>
        </xdr:cNvPr>
        <xdr:cNvSpPr>
          <a:spLocks noChangeShapeType="1"/>
        </xdr:cNvSpPr>
      </xdr:nvSpPr>
      <xdr:spPr bwMode="auto">
        <a:xfrm flipH="1">
          <a:off x="5057775" y="7200900"/>
          <a:ext cx="95250" cy="0"/>
        </a:xfrm>
        <a:prstGeom prst="line">
          <a:avLst/>
        </a:prstGeom>
        <a:noFill/>
        <a:ln w="9525">
          <a:solidFill>
            <a:srgbClr val="000000"/>
          </a:solidFill>
          <a:round/>
          <a:headEnd/>
          <a:tailEnd/>
        </a:ln>
      </xdr:spPr>
    </xdr:sp>
    <xdr:clientData/>
  </xdr:twoCellAnchor>
  <xdr:twoCellAnchor>
    <xdr:from>
      <xdr:col>6</xdr:col>
      <xdr:colOff>0</xdr:colOff>
      <xdr:row>36</xdr:row>
      <xdr:rowOff>0</xdr:rowOff>
    </xdr:from>
    <xdr:to>
      <xdr:col>6</xdr:col>
      <xdr:colOff>95250</xdr:colOff>
      <xdr:row>36</xdr:row>
      <xdr:rowOff>0</xdr:rowOff>
    </xdr:to>
    <xdr:sp macro="" textlink="">
      <xdr:nvSpPr>
        <xdr:cNvPr id="3040" name="Line 121">
          <a:extLst>
            <a:ext uri="{FF2B5EF4-FFF2-40B4-BE49-F238E27FC236}">
              <a16:creationId xmlns:a16="http://schemas.microsoft.com/office/drawing/2014/main" id="{00000000-0008-0000-0600-0000E00B0000}"/>
            </a:ext>
          </a:extLst>
        </xdr:cNvPr>
        <xdr:cNvSpPr>
          <a:spLocks noChangeShapeType="1"/>
        </xdr:cNvSpPr>
      </xdr:nvSpPr>
      <xdr:spPr bwMode="auto">
        <a:xfrm flipH="1">
          <a:off x="5057775" y="7200900"/>
          <a:ext cx="95250"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30</xdr:col>
          <xdr:colOff>419100</xdr:colOff>
          <xdr:row>89</xdr:row>
          <xdr:rowOff>238125</xdr:rowOff>
        </xdr:to>
        <xdr:sp macro="" textlink="">
          <xdr:nvSpPr>
            <xdr:cNvPr id="4241" name="Object 145" hidden="1">
              <a:extLst>
                <a:ext uri="{63B3BB69-23CF-44E3-9099-C40C66FF867C}">
                  <a14:compatExt spid="_x0000_s4241"/>
                </a:ext>
                <a:ext uri="{FF2B5EF4-FFF2-40B4-BE49-F238E27FC236}">
                  <a16:creationId xmlns:a16="http://schemas.microsoft.com/office/drawing/2014/main" id="{00000000-0008-0000-0800-00009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266700</xdr:colOff>
          <xdr:row>75</xdr:row>
          <xdr:rowOff>133350</xdr:rowOff>
        </xdr:from>
        <xdr:to>
          <xdr:col>30</xdr:col>
          <xdr:colOff>428625</xdr:colOff>
          <xdr:row>81</xdr:row>
          <xdr:rowOff>171450</xdr:rowOff>
        </xdr:to>
        <xdr:sp macro="" textlink="">
          <xdr:nvSpPr>
            <xdr:cNvPr id="4243" name="Object 147" hidden="1">
              <a:extLst>
                <a:ext uri="{63B3BB69-23CF-44E3-9099-C40C66FF867C}">
                  <a14:compatExt spid="_x0000_s4243"/>
                </a:ext>
                <a:ext uri="{FF2B5EF4-FFF2-40B4-BE49-F238E27FC236}">
                  <a16:creationId xmlns:a16="http://schemas.microsoft.com/office/drawing/2014/main" id="{00000000-0008-0000-0800-00009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6</xdr:col>
      <xdr:colOff>0</xdr:colOff>
      <xdr:row>5</xdr:row>
      <xdr:rowOff>0</xdr:rowOff>
    </xdr:from>
    <xdr:to>
      <xdr:col>6</xdr:col>
      <xdr:colOff>0</xdr:colOff>
      <xdr:row>8</xdr:row>
      <xdr:rowOff>0</xdr:rowOff>
    </xdr:to>
    <xdr:sp macro="" textlink="">
      <xdr:nvSpPr>
        <xdr:cNvPr id="2" name="Line 70">
          <a:extLst>
            <a:ext uri="{FF2B5EF4-FFF2-40B4-BE49-F238E27FC236}">
              <a16:creationId xmlns:a16="http://schemas.microsoft.com/office/drawing/2014/main" id="{00000000-0008-0000-0900-000002000000}"/>
            </a:ext>
          </a:extLst>
        </xdr:cNvPr>
        <xdr:cNvSpPr>
          <a:spLocks noChangeShapeType="1"/>
        </xdr:cNvSpPr>
      </xdr:nvSpPr>
      <xdr:spPr bwMode="auto">
        <a:xfrm flipV="1">
          <a:off x="1371600" y="904875"/>
          <a:ext cx="0" cy="542925"/>
        </a:xfrm>
        <a:prstGeom prst="line">
          <a:avLst/>
        </a:prstGeom>
        <a:noFill/>
        <a:ln w="9525">
          <a:solidFill>
            <a:srgbClr val="000000"/>
          </a:solidFill>
          <a:round/>
          <a:headEnd/>
          <a:tailEnd type="triangle" w="med" len="med"/>
        </a:ln>
      </xdr:spPr>
    </xdr:sp>
    <xdr:clientData/>
  </xdr:twoCellAnchor>
  <xdr:twoCellAnchor>
    <xdr:from>
      <xdr:col>8</xdr:col>
      <xdr:colOff>0</xdr:colOff>
      <xdr:row>5</xdr:row>
      <xdr:rowOff>9525</xdr:rowOff>
    </xdr:from>
    <xdr:to>
      <xdr:col>8</xdr:col>
      <xdr:colOff>0</xdr:colOff>
      <xdr:row>8</xdr:row>
      <xdr:rowOff>0</xdr:rowOff>
    </xdr:to>
    <xdr:sp macro="" textlink="">
      <xdr:nvSpPr>
        <xdr:cNvPr id="3" name="Line 71">
          <a:extLst>
            <a:ext uri="{FF2B5EF4-FFF2-40B4-BE49-F238E27FC236}">
              <a16:creationId xmlns:a16="http://schemas.microsoft.com/office/drawing/2014/main" id="{00000000-0008-0000-0900-000003000000}"/>
            </a:ext>
          </a:extLst>
        </xdr:cNvPr>
        <xdr:cNvSpPr>
          <a:spLocks noChangeShapeType="1"/>
        </xdr:cNvSpPr>
      </xdr:nvSpPr>
      <xdr:spPr bwMode="auto">
        <a:xfrm flipV="1">
          <a:off x="2781300" y="914400"/>
          <a:ext cx="0" cy="533400"/>
        </a:xfrm>
        <a:prstGeom prst="line">
          <a:avLst/>
        </a:prstGeom>
        <a:noFill/>
        <a:ln w="9525">
          <a:solidFill>
            <a:srgbClr val="000000"/>
          </a:solidFill>
          <a:round/>
          <a:headEnd/>
          <a:tailEnd type="triangle" w="med" len="med"/>
        </a:ln>
      </xdr:spPr>
    </xdr:sp>
    <xdr:clientData/>
  </xdr:twoCellAnchor>
  <xdr:twoCellAnchor>
    <xdr:from>
      <xdr:col>7</xdr:col>
      <xdr:colOff>0</xdr:colOff>
      <xdr:row>4</xdr:row>
      <xdr:rowOff>9525</xdr:rowOff>
    </xdr:from>
    <xdr:to>
      <xdr:col>7</xdr:col>
      <xdr:colOff>0</xdr:colOff>
      <xdr:row>5</xdr:row>
      <xdr:rowOff>9525</xdr:rowOff>
    </xdr:to>
    <xdr:sp macro="" textlink="">
      <xdr:nvSpPr>
        <xdr:cNvPr id="4" name="Line 72">
          <a:extLst>
            <a:ext uri="{FF2B5EF4-FFF2-40B4-BE49-F238E27FC236}">
              <a16:creationId xmlns:a16="http://schemas.microsoft.com/office/drawing/2014/main" id="{00000000-0008-0000-0900-000004000000}"/>
            </a:ext>
          </a:extLst>
        </xdr:cNvPr>
        <xdr:cNvSpPr>
          <a:spLocks noChangeShapeType="1"/>
        </xdr:cNvSpPr>
      </xdr:nvSpPr>
      <xdr:spPr bwMode="auto">
        <a:xfrm>
          <a:off x="2057400" y="733425"/>
          <a:ext cx="0" cy="180975"/>
        </a:xfrm>
        <a:prstGeom prst="line">
          <a:avLst/>
        </a:prstGeom>
        <a:noFill/>
        <a:ln w="9525">
          <a:solidFill>
            <a:srgbClr val="000000"/>
          </a:solidFill>
          <a:round/>
          <a:headEnd/>
          <a:tailEnd type="triangle" w="med" len="med"/>
        </a:ln>
      </xdr:spPr>
    </xdr:sp>
    <xdr:clientData/>
  </xdr:twoCellAnchor>
  <xdr:twoCellAnchor>
    <xdr:from>
      <xdr:col>12</xdr:col>
      <xdr:colOff>0</xdr:colOff>
      <xdr:row>3</xdr:row>
      <xdr:rowOff>0</xdr:rowOff>
    </xdr:from>
    <xdr:to>
      <xdr:col>12</xdr:col>
      <xdr:colOff>0</xdr:colOff>
      <xdr:row>4</xdr:row>
      <xdr:rowOff>0</xdr:rowOff>
    </xdr:to>
    <xdr:sp macro="" textlink="">
      <xdr:nvSpPr>
        <xdr:cNvPr id="5" name="Line 73">
          <a:extLst>
            <a:ext uri="{FF2B5EF4-FFF2-40B4-BE49-F238E27FC236}">
              <a16:creationId xmlns:a16="http://schemas.microsoft.com/office/drawing/2014/main" id="{00000000-0008-0000-0900-000005000000}"/>
            </a:ext>
          </a:extLst>
        </xdr:cNvPr>
        <xdr:cNvSpPr>
          <a:spLocks noChangeShapeType="1"/>
        </xdr:cNvSpPr>
      </xdr:nvSpPr>
      <xdr:spPr bwMode="auto">
        <a:xfrm>
          <a:off x="5524500" y="542925"/>
          <a:ext cx="0" cy="180975"/>
        </a:xfrm>
        <a:prstGeom prst="line">
          <a:avLst/>
        </a:prstGeom>
        <a:noFill/>
        <a:ln w="9525">
          <a:solidFill>
            <a:srgbClr val="000000"/>
          </a:solidFill>
          <a:round/>
          <a:headEnd/>
          <a:tailEnd type="triangle" w="med" len="med"/>
        </a:ln>
      </xdr:spPr>
    </xdr:sp>
    <xdr:clientData/>
  </xdr:twoCellAnchor>
  <xdr:twoCellAnchor>
    <xdr:from>
      <xdr:col>11</xdr:col>
      <xdr:colOff>47625</xdr:colOff>
      <xdr:row>1</xdr:row>
      <xdr:rowOff>152400</xdr:rowOff>
    </xdr:from>
    <xdr:to>
      <xdr:col>13</xdr:col>
      <xdr:colOff>28575</xdr:colOff>
      <xdr:row>4</xdr:row>
      <xdr:rowOff>0</xdr:rowOff>
    </xdr:to>
    <xdr:sp macro="" textlink="">
      <xdr:nvSpPr>
        <xdr:cNvPr id="6" name="Line 74">
          <a:extLst>
            <a:ext uri="{FF2B5EF4-FFF2-40B4-BE49-F238E27FC236}">
              <a16:creationId xmlns:a16="http://schemas.microsoft.com/office/drawing/2014/main" id="{00000000-0008-0000-0900-000006000000}"/>
            </a:ext>
          </a:extLst>
        </xdr:cNvPr>
        <xdr:cNvSpPr>
          <a:spLocks noChangeShapeType="1"/>
        </xdr:cNvSpPr>
      </xdr:nvSpPr>
      <xdr:spPr bwMode="auto">
        <a:xfrm flipH="1">
          <a:off x="4886325" y="333375"/>
          <a:ext cx="1352550" cy="390525"/>
        </a:xfrm>
        <a:prstGeom prst="line">
          <a:avLst/>
        </a:prstGeom>
        <a:noFill/>
        <a:ln w="9525">
          <a:solidFill>
            <a:srgbClr val="000000"/>
          </a:solidFill>
          <a:round/>
          <a:headEnd/>
          <a:tailEnd/>
        </a:ln>
      </xdr:spPr>
    </xdr:sp>
    <xdr:clientData/>
  </xdr:twoCellAnchor>
  <xdr:twoCellAnchor>
    <xdr:from>
      <xdr:col>10</xdr:col>
      <xdr:colOff>9525</xdr:colOff>
      <xdr:row>1</xdr:row>
      <xdr:rowOff>9525</xdr:rowOff>
    </xdr:from>
    <xdr:to>
      <xdr:col>12</xdr:col>
      <xdr:colOff>0</xdr:colOff>
      <xdr:row>3</xdr:row>
      <xdr:rowOff>0</xdr:rowOff>
    </xdr:to>
    <xdr:sp macro="" textlink="">
      <xdr:nvSpPr>
        <xdr:cNvPr id="7" name="Line 75">
          <a:extLst>
            <a:ext uri="{FF2B5EF4-FFF2-40B4-BE49-F238E27FC236}">
              <a16:creationId xmlns:a16="http://schemas.microsoft.com/office/drawing/2014/main" id="{00000000-0008-0000-0900-000007000000}"/>
            </a:ext>
          </a:extLst>
        </xdr:cNvPr>
        <xdr:cNvSpPr>
          <a:spLocks noChangeShapeType="1"/>
        </xdr:cNvSpPr>
      </xdr:nvSpPr>
      <xdr:spPr bwMode="auto">
        <a:xfrm flipH="1">
          <a:off x="4162425" y="190500"/>
          <a:ext cx="1362075" cy="352425"/>
        </a:xfrm>
        <a:prstGeom prst="line">
          <a:avLst/>
        </a:prstGeom>
        <a:noFill/>
        <a:ln w="9525">
          <a:solidFill>
            <a:srgbClr val="000000"/>
          </a:solidFill>
          <a:round/>
          <a:headEnd/>
          <a:tailEnd/>
        </a:ln>
      </xdr:spPr>
    </xdr:sp>
    <xdr:clientData/>
  </xdr:twoCellAnchor>
  <xdr:twoCellAnchor>
    <xdr:from>
      <xdr:col>11</xdr:col>
      <xdr:colOff>676275</xdr:colOff>
      <xdr:row>3</xdr:row>
      <xdr:rowOff>0</xdr:rowOff>
    </xdr:from>
    <xdr:to>
      <xdr:col>13</xdr:col>
      <xdr:colOff>666750</xdr:colOff>
      <xdr:row>5</xdr:row>
      <xdr:rowOff>9525</xdr:rowOff>
    </xdr:to>
    <xdr:sp macro="" textlink="">
      <xdr:nvSpPr>
        <xdr:cNvPr id="8" name="Line 76">
          <a:extLst>
            <a:ext uri="{FF2B5EF4-FFF2-40B4-BE49-F238E27FC236}">
              <a16:creationId xmlns:a16="http://schemas.microsoft.com/office/drawing/2014/main" id="{00000000-0008-0000-0900-000008000000}"/>
            </a:ext>
          </a:extLst>
        </xdr:cNvPr>
        <xdr:cNvSpPr>
          <a:spLocks noChangeShapeType="1"/>
        </xdr:cNvSpPr>
      </xdr:nvSpPr>
      <xdr:spPr bwMode="auto">
        <a:xfrm flipH="1">
          <a:off x="5514975" y="542925"/>
          <a:ext cx="1362075" cy="371475"/>
        </a:xfrm>
        <a:prstGeom prst="line">
          <a:avLst/>
        </a:prstGeom>
        <a:noFill/>
        <a:ln w="9525">
          <a:solidFill>
            <a:srgbClr val="000000"/>
          </a:solidFill>
          <a:round/>
          <a:headEnd/>
          <a:tailEnd/>
        </a:ln>
      </xdr:spPr>
    </xdr:sp>
    <xdr:clientData/>
  </xdr:twoCellAnchor>
  <xdr:twoCellAnchor>
    <xdr:from>
      <xdr:col>11</xdr:col>
      <xdr:colOff>0</xdr:colOff>
      <xdr:row>4</xdr:row>
      <xdr:rowOff>0</xdr:rowOff>
    </xdr:from>
    <xdr:to>
      <xdr:col>11</xdr:col>
      <xdr:colOff>0</xdr:colOff>
      <xdr:row>5</xdr:row>
      <xdr:rowOff>9525</xdr:rowOff>
    </xdr:to>
    <xdr:sp macro="" textlink="">
      <xdr:nvSpPr>
        <xdr:cNvPr id="9" name="Line 77">
          <a:extLst>
            <a:ext uri="{FF2B5EF4-FFF2-40B4-BE49-F238E27FC236}">
              <a16:creationId xmlns:a16="http://schemas.microsoft.com/office/drawing/2014/main" id="{00000000-0008-0000-0900-000009000000}"/>
            </a:ext>
          </a:extLst>
        </xdr:cNvPr>
        <xdr:cNvSpPr>
          <a:spLocks noChangeShapeType="1"/>
        </xdr:cNvSpPr>
      </xdr:nvSpPr>
      <xdr:spPr bwMode="auto">
        <a:xfrm>
          <a:off x="4838700" y="723900"/>
          <a:ext cx="0" cy="190500"/>
        </a:xfrm>
        <a:prstGeom prst="line">
          <a:avLst/>
        </a:prstGeom>
        <a:noFill/>
        <a:ln w="9525">
          <a:solidFill>
            <a:srgbClr val="000000"/>
          </a:solidFill>
          <a:round/>
          <a:headEnd/>
          <a:tailEnd/>
        </a:ln>
      </xdr:spPr>
    </xdr:sp>
    <xdr:clientData/>
  </xdr:twoCellAnchor>
  <xdr:twoCellAnchor>
    <xdr:from>
      <xdr:col>10</xdr:col>
      <xdr:colOff>0</xdr:colOff>
      <xdr:row>3</xdr:row>
      <xdr:rowOff>9525</xdr:rowOff>
    </xdr:from>
    <xdr:to>
      <xdr:col>10</xdr:col>
      <xdr:colOff>0</xdr:colOff>
      <xdr:row>4</xdr:row>
      <xdr:rowOff>9525</xdr:rowOff>
    </xdr:to>
    <xdr:sp macro="" textlink="">
      <xdr:nvSpPr>
        <xdr:cNvPr id="10" name="Line 78">
          <a:extLst>
            <a:ext uri="{FF2B5EF4-FFF2-40B4-BE49-F238E27FC236}">
              <a16:creationId xmlns:a16="http://schemas.microsoft.com/office/drawing/2014/main" id="{00000000-0008-0000-0900-00000A000000}"/>
            </a:ext>
          </a:extLst>
        </xdr:cNvPr>
        <xdr:cNvSpPr>
          <a:spLocks noChangeShapeType="1"/>
        </xdr:cNvSpPr>
      </xdr:nvSpPr>
      <xdr:spPr bwMode="auto">
        <a:xfrm>
          <a:off x="4152900" y="552450"/>
          <a:ext cx="0" cy="180975"/>
        </a:xfrm>
        <a:prstGeom prst="line">
          <a:avLst/>
        </a:prstGeom>
        <a:noFill/>
        <a:ln w="9525">
          <a:solidFill>
            <a:srgbClr val="000000"/>
          </a:solidFill>
          <a:round/>
          <a:headEnd/>
          <a:tailEnd/>
        </a:ln>
      </xdr:spPr>
    </xdr:sp>
    <xdr:clientData/>
  </xdr:twoCellAnchor>
  <xdr:twoCellAnchor>
    <xdr:from>
      <xdr:col>12</xdr:col>
      <xdr:colOff>9525</xdr:colOff>
      <xdr:row>5</xdr:row>
      <xdr:rowOff>9525</xdr:rowOff>
    </xdr:from>
    <xdr:to>
      <xdr:col>12</xdr:col>
      <xdr:colOff>9525</xdr:colOff>
      <xdr:row>6</xdr:row>
      <xdr:rowOff>19050</xdr:rowOff>
    </xdr:to>
    <xdr:sp macro="" textlink="">
      <xdr:nvSpPr>
        <xdr:cNvPr id="11" name="Line 77">
          <a:extLst>
            <a:ext uri="{FF2B5EF4-FFF2-40B4-BE49-F238E27FC236}">
              <a16:creationId xmlns:a16="http://schemas.microsoft.com/office/drawing/2014/main" id="{00000000-0008-0000-0900-00000B000000}"/>
            </a:ext>
          </a:extLst>
        </xdr:cNvPr>
        <xdr:cNvSpPr>
          <a:spLocks noChangeShapeType="1"/>
        </xdr:cNvSpPr>
      </xdr:nvSpPr>
      <xdr:spPr bwMode="auto">
        <a:xfrm>
          <a:off x="6172200" y="914400"/>
          <a:ext cx="0" cy="190500"/>
        </a:xfrm>
        <a:prstGeom prst="line">
          <a:avLst/>
        </a:prstGeom>
        <a:noFill/>
        <a:ln w="9525">
          <a:solidFill>
            <a:srgbClr val="000000"/>
          </a:solidFill>
          <a:round/>
          <a:headEnd/>
          <a:tailEnd/>
        </a:ln>
      </xdr:spPr>
    </xdr:sp>
    <xdr:clientData/>
  </xdr:twoCellAnchor>
  <xdr:twoCellAnchor>
    <xdr:from>
      <xdr:col>18</xdr:col>
      <xdr:colOff>9525</xdr:colOff>
      <xdr:row>1</xdr:row>
      <xdr:rowOff>142875</xdr:rowOff>
    </xdr:from>
    <xdr:to>
      <xdr:col>18</xdr:col>
      <xdr:colOff>9525</xdr:colOff>
      <xdr:row>2</xdr:row>
      <xdr:rowOff>142875</xdr:rowOff>
    </xdr:to>
    <xdr:sp macro="" textlink="">
      <xdr:nvSpPr>
        <xdr:cNvPr id="12" name="Line 73">
          <a:extLst>
            <a:ext uri="{FF2B5EF4-FFF2-40B4-BE49-F238E27FC236}">
              <a16:creationId xmlns:a16="http://schemas.microsoft.com/office/drawing/2014/main" id="{00000000-0008-0000-0900-00000C000000}"/>
            </a:ext>
          </a:extLst>
        </xdr:cNvPr>
        <xdr:cNvSpPr>
          <a:spLocks noChangeShapeType="1"/>
        </xdr:cNvSpPr>
      </xdr:nvSpPr>
      <xdr:spPr bwMode="auto">
        <a:xfrm>
          <a:off x="9658350" y="323850"/>
          <a:ext cx="0" cy="180975"/>
        </a:xfrm>
        <a:prstGeom prst="line">
          <a:avLst/>
        </a:prstGeom>
        <a:noFill/>
        <a:ln w="9525">
          <a:solidFill>
            <a:srgbClr val="000000"/>
          </a:solidFill>
          <a:round/>
          <a:headEnd/>
          <a:tailEnd type="triangle" w="med" len="med"/>
        </a:ln>
      </xdr:spPr>
    </xdr:sp>
    <xdr:clientData/>
  </xdr:twoCellAnchor>
  <xdr:twoCellAnchor>
    <xdr:from>
      <xdr:col>17</xdr:col>
      <xdr:colOff>47625</xdr:colOff>
      <xdr:row>1</xdr:row>
      <xdr:rowOff>152400</xdr:rowOff>
    </xdr:from>
    <xdr:to>
      <xdr:col>19</xdr:col>
      <xdr:colOff>28575</xdr:colOff>
      <xdr:row>4</xdr:row>
      <xdr:rowOff>0</xdr:rowOff>
    </xdr:to>
    <xdr:sp macro="" textlink="">
      <xdr:nvSpPr>
        <xdr:cNvPr id="13" name="Line 74">
          <a:extLst>
            <a:ext uri="{FF2B5EF4-FFF2-40B4-BE49-F238E27FC236}">
              <a16:creationId xmlns:a16="http://schemas.microsoft.com/office/drawing/2014/main" id="{00000000-0008-0000-0900-00000D000000}"/>
            </a:ext>
          </a:extLst>
        </xdr:cNvPr>
        <xdr:cNvSpPr>
          <a:spLocks noChangeShapeType="1"/>
        </xdr:cNvSpPr>
      </xdr:nvSpPr>
      <xdr:spPr bwMode="auto">
        <a:xfrm flipH="1">
          <a:off x="5629275" y="333375"/>
          <a:ext cx="1143000" cy="390525"/>
        </a:xfrm>
        <a:prstGeom prst="line">
          <a:avLst/>
        </a:prstGeom>
        <a:noFill/>
        <a:ln w="9525">
          <a:solidFill>
            <a:srgbClr val="000000"/>
          </a:solidFill>
          <a:round/>
          <a:headEnd/>
          <a:tailEnd/>
        </a:ln>
      </xdr:spPr>
    </xdr:sp>
    <xdr:clientData/>
  </xdr:twoCellAnchor>
  <xdr:twoCellAnchor>
    <xdr:from>
      <xdr:col>16</xdr:col>
      <xdr:colOff>9525</xdr:colOff>
      <xdr:row>1</xdr:row>
      <xdr:rowOff>9525</xdr:rowOff>
    </xdr:from>
    <xdr:to>
      <xdr:col>18</xdr:col>
      <xdr:colOff>0</xdr:colOff>
      <xdr:row>3</xdr:row>
      <xdr:rowOff>0</xdr:rowOff>
    </xdr:to>
    <xdr:sp macro="" textlink="">
      <xdr:nvSpPr>
        <xdr:cNvPr id="14" name="Line 75">
          <a:extLst>
            <a:ext uri="{FF2B5EF4-FFF2-40B4-BE49-F238E27FC236}">
              <a16:creationId xmlns:a16="http://schemas.microsoft.com/office/drawing/2014/main" id="{00000000-0008-0000-0900-00000E000000}"/>
            </a:ext>
          </a:extLst>
        </xdr:cNvPr>
        <xdr:cNvSpPr>
          <a:spLocks noChangeShapeType="1"/>
        </xdr:cNvSpPr>
      </xdr:nvSpPr>
      <xdr:spPr bwMode="auto">
        <a:xfrm flipH="1">
          <a:off x="5010150" y="190500"/>
          <a:ext cx="1152525" cy="352425"/>
        </a:xfrm>
        <a:prstGeom prst="line">
          <a:avLst/>
        </a:prstGeom>
        <a:noFill/>
        <a:ln w="9525">
          <a:solidFill>
            <a:srgbClr val="000000"/>
          </a:solidFill>
          <a:round/>
          <a:headEnd/>
          <a:tailEnd/>
        </a:ln>
      </xdr:spPr>
    </xdr:sp>
    <xdr:clientData/>
  </xdr:twoCellAnchor>
  <xdr:twoCellAnchor>
    <xdr:from>
      <xdr:col>17</xdr:col>
      <xdr:colOff>676275</xdr:colOff>
      <xdr:row>3</xdr:row>
      <xdr:rowOff>0</xdr:rowOff>
    </xdr:from>
    <xdr:to>
      <xdr:col>19</xdr:col>
      <xdr:colOff>666750</xdr:colOff>
      <xdr:row>5</xdr:row>
      <xdr:rowOff>9525</xdr:rowOff>
    </xdr:to>
    <xdr:sp macro="" textlink="">
      <xdr:nvSpPr>
        <xdr:cNvPr id="15" name="Line 76">
          <a:extLst>
            <a:ext uri="{FF2B5EF4-FFF2-40B4-BE49-F238E27FC236}">
              <a16:creationId xmlns:a16="http://schemas.microsoft.com/office/drawing/2014/main" id="{00000000-0008-0000-0900-00000F000000}"/>
            </a:ext>
          </a:extLst>
        </xdr:cNvPr>
        <xdr:cNvSpPr>
          <a:spLocks noChangeShapeType="1"/>
        </xdr:cNvSpPr>
      </xdr:nvSpPr>
      <xdr:spPr bwMode="auto">
        <a:xfrm flipH="1">
          <a:off x="6162675" y="542925"/>
          <a:ext cx="1162050" cy="371475"/>
        </a:xfrm>
        <a:prstGeom prst="line">
          <a:avLst/>
        </a:prstGeom>
        <a:noFill/>
        <a:ln w="9525">
          <a:solidFill>
            <a:srgbClr val="000000"/>
          </a:solidFill>
          <a:round/>
          <a:headEnd/>
          <a:tailEnd/>
        </a:ln>
      </xdr:spPr>
    </xdr:sp>
    <xdr:clientData/>
  </xdr:twoCellAnchor>
  <xdr:twoCellAnchor>
    <xdr:from>
      <xdr:col>17</xdr:col>
      <xdr:colOff>0</xdr:colOff>
      <xdr:row>4</xdr:row>
      <xdr:rowOff>0</xdr:rowOff>
    </xdr:from>
    <xdr:to>
      <xdr:col>17</xdr:col>
      <xdr:colOff>0</xdr:colOff>
      <xdr:row>5</xdr:row>
      <xdr:rowOff>9525</xdr:rowOff>
    </xdr:to>
    <xdr:sp macro="" textlink="">
      <xdr:nvSpPr>
        <xdr:cNvPr id="16" name="Line 77">
          <a:extLst>
            <a:ext uri="{FF2B5EF4-FFF2-40B4-BE49-F238E27FC236}">
              <a16:creationId xmlns:a16="http://schemas.microsoft.com/office/drawing/2014/main" id="{00000000-0008-0000-0900-000010000000}"/>
            </a:ext>
          </a:extLst>
        </xdr:cNvPr>
        <xdr:cNvSpPr>
          <a:spLocks noChangeShapeType="1"/>
        </xdr:cNvSpPr>
      </xdr:nvSpPr>
      <xdr:spPr bwMode="auto">
        <a:xfrm>
          <a:off x="5581650" y="723900"/>
          <a:ext cx="0" cy="190500"/>
        </a:xfrm>
        <a:prstGeom prst="line">
          <a:avLst/>
        </a:prstGeom>
        <a:noFill/>
        <a:ln w="9525">
          <a:solidFill>
            <a:srgbClr val="000000"/>
          </a:solidFill>
          <a:round/>
          <a:headEnd/>
          <a:tailEnd/>
        </a:ln>
      </xdr:spPr>
    </xdr:sp>
    <xdr:clientData/>
  </xdr:twoCellAnchor>
  <xdr:twoCellAnchor>
    <xdr:from>
      <xdr:col>16</xdr:col>
      <xdr:colOff>0</xdr:colOff>
      <xdr:row>3</xdr:row>
      <xdr:rowOff>9525</xdr:rowOff>
    </xdr:from>
    <xdr:to>
      <xdr:col>16</xdr:col>
      <xdr:colOff>0</xdr:colOff>
      <xdr:row>4</xdr:row>
      <xdr:rowOff>9525</xdr:rowOff>
    </xdr:to>
    <xdr:sp macro="" textlink="">
      <xdr:nvSpPr>
        <xdr:cNvPr id="17" name="Line 78">
          <a:extLst>
            <a:ext uri="{FF2B5EF4-FFF2-40B4-BE49-F238E27FC236}">
              <a16:creationId xmlns:a16="http://schemas.microsoft.com/office/drawing/2014/main" id="{00000000-0008-0000-0900-000011000000}"/>
            </a:ext>
          </a:extLst>
        </xdr:cNvPr>
        <xdr:cNvSpPr>
          <a:spLocks noChangeShapeType="1"/>
        </xdr:cNvSpPr>
      </xdr:nvSpPr>
      <xdr:spPr bwMode="auto">
        <a:xfrm>
          <a:off x="5000625" y="552450"/>
          <a:ext cx="0" cy="180975"/>
        </a:xfrm>
        <a:prstGeom prst="line">
          <a:avLst/>
        </a:prstGeom>
        <a:noFill/>
        <a:ln w="9525">
          <a:solidFill>
            <a:srgbClr val="000000"/>
          </a:solidFill>
          <a:round/>
          <a:headEnd/>
          <a:tailEnd/>
        </a:ln>
      </xdr:spPr>
    </xdr:sp>
    <xdr:clientData/>
  </xdr:twoCellAnchor>
  <xdr:twoCellAnchor>
    <xdr:from>
      <xdr:col>18</xdr:col>
      <xdr:colOff>9525</xdr:colOff>
      <xdr:row>5</xdr:row>
      <xdr:rowOff>9525</xdr:rowOff>
    </xdr:from>
    <xdr:to>
      <xdr:col>18</xdr:col>
      <xdr:colOff>9525</xdr:colOff>
      <xdr:row>6</xdr:row>
      <xdr:rowOff>19050</xdr:rowOff>
    </xdr:to>
    <xdr:sp macro="" textlink="">
      <xdr:nvSpPr>
        <xdr:cNvPr id="18" name="Line 77">
          <a:extLst>
            <a:ext uri="{FF2B5EF4-FFF2-40B4-BE49-F238E27FC236}">
              <a16:creationId xmlns:a16="http://schemas.microsoft.com/office/drawing/2014/main" id="{00000000-0008-0000-0900-000012000000}"/>
            </a:ext>
          </a:extLst>
        </xdr:cNvPr>
        <xdr:cNvSpPr>
          <a:spLocks noChangeShapeType="1"/>
        </xdr:cNvSpPr>
      </xdr:nvSpPr>
      <xdr:spPr bwMode="auto">
        <a:xfrm>
          <a:off x="6172200" y="914400"/>
          <a:ext cx="0" cy="190500"/>
        </a:xfrm>
        <a:prstGeom prst="line">
          <a:avLst/>
        </a:prstGeom>
        <a:noFill/>
        <a:ln w="9525">
          <a:solidFill>
            <a:srgbClr val="000000"/>
          </a:solidFill>
          <a:round/>
          <a:headEnd/>
          <a:tailEnd/>
        </a:ln>
      </xdr:spPr>
    </xdr:sp>
    <xdr:clientData/>
  </xdr:twoCellAnchor>
  <xdr:twoCellAnchor>
    <xdr:from>
      <xdr:col>5</xdr:col>
      <xdr:colOff>0</xdr:colOff>
      <xdr:row>47</xdr:row>
      <xdr:rowOff>0</xdr:rowOff>
    </xdr:from>
    <xdr:to>
      <xdr:col>5</xdr:col>
      <xdr:colOff>0</xdr:colOff>
      <xdr:row>50</xdr:row>
      <xdr:rowOff>0</xdr:rowOff>
    </xdr:to>
    <xdr:sp macro="" textlink="">
      <xdr:nvSpPr>
        <xdr:cNvPr id="19" name="Line 79">
          <a:extLst>
            <a:ext uri="{FF2B5EF4-FFF2-40B4-BE49-F238E27FC236}">
              <a16:creationId xmlns:a16="http://schemas.microsoft.com/office/drawing/2014/main" id="{00000000-0008-0000-0900-000013000000}"/>
            </a:ext>
          </a:extLst>
        </xdr:cNvPr>
        <xdr:cNvSpPr>
          <a:spLocks noChangeShapeType="1"/>
        </xdr:cNvSpPr>
      </xdr:nvSpPr>
      <xdr:spPr bwMode="auto">
        <a:xfrm flipV="1">
          <a:off x="1371600" y="4343400"/>
          <a:ext cx="0" cy="542925"/>
        </a:xfrm>
        <a:prstGeom prst="line">
          <a:avLst/>
        </a:prstGeom>
        <a:noFill/>
        <a:ln w="9525">
          <a:solidFill>
            <a:srgbClr val="000000"/>
          </a:solidFill>
          <a:round/>
          <a:headEnd/>
          <a:tailEnd type="triangle" w="med" len="med"/>
        </a:ln>
      </xdr:spPr>
    </xdr:sp>
    <xdr:clientData/>
  </xdr:twoCellAnchor>
  <xdr:twoCellAnchor>
    <xdr:from>
      <xdr:col>7</xdr:col>
      <xdr:colOff>0</xdr:colOff>
      <xdr:row>47</xdr:row>
      <xdr:rowOff>9525</xdr:rowOff>
    </xdr:from>
    <xdr:to>
      <xdr:col>7</xdr:col>
      <xdr:colOff>0</xdr:colOff>
      <xdr:row>50</xdr:row>
      <xdr:rowOff>9525</xdr:rowOff>
    </xdr:to>
    <xdr:sp macro="" textlink="">
      <xdr:nvSpPr>
        <xdr:cNvPr id="20" name="Line 80">
          <a:extLst>
            <a:ext uri="{FF2B5EF4-FFF2-40B4-BE49-F238E27FC236}">
              <a16:creationId xmlns:a16="http://schemas.microsoft.com/office/drawing/2014/main" id="{00000000-0008-0000-0900-000014000000}"/>
            </a:ext>
          </a:extLst>
        </xdr:cNvPr>
        <xdr:cNvSpPr>
          <a:spLocks noChangeShapeType="1"/>
        </xdr:cNvSpPr>
      </xdr:nvSpPr>
      <xdr:spPr bwMode="auto">
        <a:xfrm flipV="1">
          <a:off x="2781300" y="4352925"/>
          <a:ext cx="0" cy="542925"/>
        </a:xfrm>
        <a:prstGeom prst="line">
          <a:avLst/>
        </a:prstGeom>
        <a:noFill/>
        <a:ln w="9525">
          <a:solidFill>
            <a:srgbClr val="000000"/>
          </a:solidFill>
          <a:round/>
          <a:headEnd/>
          <a:tailEnd type="triangle" w="med" len="med"/>
        </a:ln>
      </xdr:spPr>
    </xdr:sp>
    <xdr:clientData/>
  </xdr:twoCellAnchor>
  <xdr:twoCellAnchor>
    <xdr:from>
      <xdr:col>5</xdr:col>
      <xdr:colOff>447675</xdr:colOff>
      <xdr:row>46</xdr:row>
      <xdr:rowOff>0</xdr:rowOff>
    </xdr:from>
    <xdr:to>
      <xdr:col>5</xdr:col>
      <xdr:colOff>447675</xdr:colOff>
      <xdr:row>47</xdr:row>
      <xdr:rowOff>0</xdr:rowOff>
    </xdr:to>
    <xdr:sp macro="" textlink="">
      <xdr:nvSpPr>
        <xdr:cNvPr id="21" name="Line 83">
          <a:extLst>
            <a:ext uri="{FF2B5EF4-FFF2-40B4-BE49-F238E27FC236}">
              <a16:creationId xmlns:a16="http://schemas.microsoft.com/office/drawing/2014/main" id="{00000000-0008-0000-0900-000015000000}"/>
            </a:ext>
          </a:extLst>
        </xdr:cNvPr>
        <xdr:cNvSpPr>
          <a:spLocks noChangeShapeType="1"/>
        </xdr:cNvSpPr>
      </xdr:nvSpPr>
      <xdr:spPr bwMode="auto">
        <a:xfrm>
          <a:off x="1819275" y="4162425"/>
          <a:ext cx="0" cy="180975"/>
        </a:xfrm>
        <a:prstGeom prst="line">
          <a:avLst/>
        </a:prstGeom>
        <a:noFill/>
        <a:ln w="9525">
          <a:solidFill>
            <a:srgbClr val="000000"/>
          </a:solidFill>
          <a:round/>
          <a:headEnd/>
          <a:tailEnd type="triangle" w="med" len="med"/>
        </a:ln>
      </xdr:spPr>
    </xdr:sp>
    <xdr:clientData/>
  </xdr:twoCellAnchor>
  <xdr:twoCellAnchor>
    <xdr:from>
      <xdr:col>6</xdr:col>
      <xdr:colOff>238125</xdr:colOff>
      <xdr:row>46</xdr:row>
      <xdr:rowOff>0</xdr:rowOff>
    </xdr:from>
    <xdr:to>
      <xdr:col>6</xdr:col>
      <xdr:colOff>238125</xdr:colOff>
      <xdr:row>47</xdr:row>
      <xdr:rowOff>0</xdr:rowOff>
    </xdr:to>
    <xdr:sp macro="" textlink="">
      <xdr:nvSpPr>
        <xdr:cNvPr id="22" name="Line 84">
          <a:extLst>
            <a:ext uri="{FF2B5EF4-FFF2-40B4-BE49-F238E27FC236}">
              <a16:creationId xmlns:a16="http://schemas.microsoft.com/office/drawing/2014/main" id="{00000000-0008-0000-0900-000016000000}"/>
            </a:ext>
          </a:extLst>
        </xdr:cNvPr>
        <xdr:cNvSpPr>
          <a:spLocks noChangeShapeType="1"/>
        </xdr:cNvSpPr>
      </xdr:nvSpPr>
      <xdr:spPr bwMode="auto">
        <a:xfrm>
          <a:off x="2295525" y="4162425"/>
          <a:ext cx="0" cy="180975"/>
        </a:xfrm>
        <a:prstGeom prst="line">
          <a:avLst/>
        </a:prstGeom>
        <a:noFill/>
        <a:ln w="9525">
          <a:solidFill>
            <a:srgbClr val="000000"/>
          </a:solidFill>
          <a:round/>
          <a:headEnd/>
          <a:tailEnd type="triangle" w="med" len="med"/>
        </a:ln>
      </xdr:spPr>
    </xdr:sp>
    <xdr:clientData/>
  </xdr:twoCellAnchor>
  <xdr:twoCellAnchor>
    <xdr:from>
      <xdr:col>6</xdr:col>
      <xdr:colOff>228600</xdr:colOff>
      <xdr:row>47</xdr:row>
      <xdr:rowOff>114300</xdr:rowOff>
    </xdr:from>
    <xdr:to>
      <xdr:col>6</xdr:col>
      <xdr:colOff>228600</xdr:colOff>
      <xdr:row>49</xdr:row>
      <xdr:rowOff>0</xdr:rowOff>
    </xdr:to>
    <xdr:cxnSp macro="">
      <xdr:nvCxnSpPr>
        <xdr:cNvPr id="23" name="直線コネクタ 22">
          <a:extLst>
            <a:ext uri="{FF2B5EF4-FFF2-40B4-BE49-F238E27FC236}">
              <a16:creationId xmlns:a16="http://schemas.microsoft.com/office/drawing/2014/main" id="{00000000-0008-0000-0900-000017000000}"/>
            </a:ext>
          </a:extLst>
        </xdr:cNvPr>
        <xdr:cNvCxnSpPr/>
      </xdr:nvCxnSpPr>
      <xdr:spPr>
        <a:xfrm rot="5400000">
          <a:off x="2162175" y="4581525"/>
          <a:ext cx="247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438151</xdr:colOff>
      <xdr:row>47</xdr:row>
      <xdr:rowOff>161924</xdr:rowOff>
    </xdr:from>
    <xdr:to>
      <xdr:col>5</xdr:col>
      <xdr:colOff>438151</xdr:colOff>
      <xdr:row>48</xdr:row>
      <xdr:rowOff>180974</xdr:rowOff>
    </xdr:to>
    <xdr:cxnSp macro="">
      <xdr:nvCxnSpPr>
        <xdr:cNvPr id="24" name="直線コネクタ 23">
          <a:extLst>
            <a:ext uri="{FF2B5EF4-FFF2-40B4-BE49-F238E27FC236}">
              <a16:creationId xmlns:a16="http://schemas.microsoft.com/office/drawing/2014/main" id="{00000000-0008-0000-0900-000018000000}"/>
            </a:ext>
          </a:extLst>
        </xdr:cNvPr>
        <xdr:cNvCxnSpPr/>
      </xdr:nvCxnSpPr>
      <xdr:spPr>
        <a:xfrm rot="5400000">
          <a:off x="1709738" y="4605337"/>
          <a:ext cx="200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0</xdr:colOff>
      <xdr:row>47</xdr:row>
      <xdr:rowOff>0</xdr:rowOff>
    </xdr:from>
    <xdr:to>
      <xdr:col>43</xdr:col>
      <xdr:colOff>0</xdr:colOff>
      <xdr:row>48</xdr:row>
      <xdr:rowOff>171450</xdr:rowOff>
    </xdr:to>
    <xdr:cxnSp macro="">
      <xdr:nvCxnSpPr>
        <xdr:cNvPr id="28" name="直線コネクタ 27">
          <a:extLst>
            <a:ext uri="{FF2B5EF4-FFF2-40B4-BE49-F238E27FC236}">
              <a16:creationId xmlns:a16="http://schemas.microsoft.com/office/drawing/2014/main" id="{00000000-0008-0000-0900-00001C000000}"/>
            </a:ext>
          </a:extLst>
        </xdr:cNvPr>
        <xdr:cNvCxnSpPr/>
      </xdr:nvCxnSpPr>
      <xdr:spPr>
        <a:xfrm>
          <a:off x="22298025" y="8801100"/>
          <a:ext cx="6858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0</xdr:colOff>
      <xdr:row>47</xdr:row>
      <xdr:rowOff>9524</xdr:rowOff>
    </xdr:from>
    <xdr:to>
      <xdr:col>46</xdr:col>
      <xdr:colOff>0</xdr:colOff>
      <xdr:row>48</xdr:row>
      <xdr:rowOff>180974</xdr:rowOff>
    </xdr:to>
    <xdr:cxnSp macro="">
      <xdr:nvCxnSpPr>
        <xdr:cNvPr id="30" name="直線コネクタ 29">
          <a:extLst>
            <a:ext uri="{FF2B5EF4-FFF2-40B4-BE49-F238E27FC236}">
              <a16:creationId xmlns:a16="http://schemas.microsoft.com/office/drawing/2014/main" id="{00000000-0008-0000-0900-00001E000000}"/>
            </a:ext>
          </a:extLst>
        </xdr:cNvPr>
        <xdr:cNvCxnSpPr/>
      </xdr:nvCxnSpPr>
      <xdr:spPr>
        <a:xfrm rot="10800000" flipV="1">
          <a:off x="22983825" y="8810624"/>
          <a:ext cx="20955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0</xdr:colOff>
      <xdr:row>47</xdr:row>
      <xdr:rowOff>0</xdr:rowOff>
    </xdr:from>
    <xdr:to>
      <xdr:col>50</xdr:col>
      <xdr:colOff>0</xdr:colOff>
      <xdr:row>48</xdr:row>
      <xdr:rowOff>171450</xdr:rowOff>
    </xdr:to>
    <xdr:cxnSp macro="">
      <xdr:nvCxnSpPr>
        <xdr:cNvPr id="33" name="直線コネクタ 32">
          <a:extLst>
            <a:ext uri="{FF2B5EF4-FFF2-40B4-BE49-F238E27FC236}">
              <a16:creationId xmlns:a16="http://schemas.microsoft.com/office/drawing/2014/main" id="{00000000-0008-0000-0900-000021000000}"/>
            </a:ext>
          </a:extLst>
        </xdr:cNvPr>
        <xdr:cNvCxnSpPr/>
      </xdr:nvCxnSpPr>
      <xdr:spPr>
        <a:xfrm>
          <a:off x="22298025" y="8801100"/>
          <a:ext cx="6858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0</xdr:colOff>
      <xdr:row>47</xdr:row>
      <xdr:rowOff>9524</xdr:rowOff>
    </xdr:from>
    <xdr:to>
      <xdr:col>53</xdr:col>
      <xdr:colOff>0</xdr:colOff>
      <xdr:row>48</xdr:row>
      <xdr:rowOff>180974</xdr:rowOff>
    </xdr:to>
    <xdr:cxnSp macro="">
      <xdr:nvCxnSpPr>
        <xdr:cNvPr id="34" name="直線コネクタ 33">
          <a:extLst>
            <a:ext uri="{FF2B5EF4-FFF2-40B4-BE49-F238E27FC236}">
              <a16:creationId xmlns:a16="http://schemas.microsoft.com/office/drawing/2014/main" id="{00000000-0008-0000-0900-000022000000}"/>
            </a:ext>
          </a:extLst>
        </xdr:cNvPr>
        <xdr:cNvCxnSpPr/>
      </xdr:nvCxnSpPr>
      <xdr:spPr>
        <a:xfrm rot="10800000" flipV="1">
          <a:off x="22983825" y="8810624"/>
          <a:ext cx="20955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9525</xdr:colOff>
      <xdr:row>46</xdr:row>
      <xdr:rowOff>171450</xdr:rowOff>
    </xdr:from>
    <xdr:to>
      <xdr:col>52</xdr:col>
      <xdr:colOff>0</xdr:colOff>
      <xdr:row>50</xdr:row>
      <xdr:rowOff>0</xdr:rowOff>
    </xdr:to>
    <xdr:cxnSp macro="">
      <xdr:nvCxnSpPr>
        <xdr:cNvPr id="36" name="直線コネクタ 35">
          <a:extLst>
            <a:ext uri="{FF2B5EF4-FFF2-40B4-BE49-F238E27FC236}">
              <a16:creationId xmlns:a16="http://schemas.microsoft.com/office/drawing/2014/main" id="{00000000-0008-0000-0900-000024000000}"/>
            </a:ext>
          </a:extLst>
        </xdr:cNvPr>
        <xdr:cNvCxnSpPr/>
      </xdr:nvCxnSpPr>
      <xdr:spPr>
        <a:xfrm>
          <a:off x="27146250" y="8791575"/>
          <a:ext cx="2047875"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xdr:colOff>
      <xdr:row>46</xdr:row>
      <xdr:rowOff>171450</xdr:rowOff>
    </xdr:from>
    <xdr:to>
      <xdr:col>53</xdr:col>
      <xdr:colOff>9525</xdr:colOff>
      <xdr:row>50</xdr:row>
      <xdr:rowOff>0</xdr:rowOff>
    </xdr:to>
    <xdr:cxnSp macro="">
      <xdr:nvCxnSpPr>
        <xdr:cNvPr id="38" name="直線コネクタ 37">
          <a:extLst>
            <a:ext uri="{FF2B5EF4-FFF2-40B4-BE49-F238E27FC236}">
              <a16:creationId xmlns:a16="http://schemas.microsoft.com/office/drawing/2014/main" id="{00000000-0008-0000-0900-000026000000}"/>
            </a:ext>
          </a:extLst>
        </xdr:cNvPr>
        <xdr:cNvCxnSpPr/>
      </xdr:nvCxnSpPr>
      <xdr:spPr>
        <a:xfrm rot="10800000" flipV="1">
          <a:off x="29203650" y="8791575"/>
          <a:ext cx="685800"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685799</xdr:colOff>
      <xdr:row>47</xdr:row>
      <xdr:rowOff>1</xdr:rowOff>
    </xdr:from>
    <xdr:to>
      <xdr:col>53</xdr:col>
      <xdr:colOff>9524</xdr:colOff>
      <xdr:row>51</xdr:row>
      <xdr:rowOff>9526</xdr:rowOff>
    </xdr:to>
    <xdr:cxnSp macro="">
      <xdr:nvCxnSpPr>
        <xdr:cNvPr id="40" name="直線コネクタ 39">
          <a:extLst>
            <a:ext uri="{FF2B5EF4-FFF2-40B4-BE49-F238E27FC236}">
              <a16:creationId xmlns:a16="http://schemas.microsoft.com/office/drawing/2014/main" id="{00000000-0008-0000-0900-000028000000}"/>
            </a:ext>
          </a:extLst>
        </xdr:cNvPr>
        <xdr:cNvCxnSpPr/>
      </xdr:nvCxnSpPr>
      <xdr:spPr>
        <a:xfrm rot="5400000" flipH="1" flipV="1">
          <a:off x="29170312" y="8824913"/>
          <a:ext cx="742950" cy="6953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48</xdr:col>
      <xdr:colOff>676275</xdr:colOff>
      <xdr:row>47</xdr:row>
      <xdr:rowOff>0</xdr:rowOff>
    </xdr:from>
    <xdr:to>
      <xdr:col>52</xdr:col>
      <xdr:colOff>9525</xdr:colOff>
      <xdr:row>51</xdr:row>
      <xdr:rowOff>19050</xdr:rowOff>
    </xdr:to>
    <xdr:cxnSp macro="">
      <xdr:nvCxnSpPr>
        <xdr:cNvPr id="42" name="直線コネクタ 41">
          <a:extLst>
            <a:ext uri="{FF2B5EF4-FFF2-40B4-BE49-F238E27FC236}">
              <a16:creationId xmlns:a16="http://schemas.microsoft.com/office/drawing/2014/main" id="{00000000-0008-0000-0900-00002A000000}"/>
            </a:ext>
          </a:extLst>
        </xdr:cNvPr>
        <xdr:cNvCxnSpPr/>
      </xdr:nvCxnSpPr>
      <xdr:spPr>
        <a:xfrm>
          <a:off x="27127200" y="8801100"/>
          <a:ext cx="2076450" cy="75247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5</xdr:row>
      <xdr:rowOff>0</xdr:rowOff>
    </xdr:from>
    <xdr:to>
      <xdr:col>6</xdr:col>
      <xdr:colOff>0</xdr:colOff>
      <xdr:row>8</xdr:row>
      <xdr:rowOff>0</xdr:rowOff>
    </xdr:to>
    <xdr:sp macro="" textlink="">
      <xdr:nvSpPr>
        <xdr:cNvPr id="2" name="Line 70">
          <a:extLst>
            <a:ext uri="{FF2B5EF4-FFF2-40B4-BE49-F238E27FC236}">
              <a16:creationId xmlns:a16="http://schemas.microsoft.com/office/drawing/2014/main" id="{00000000-0008-0000-0A00-000002000000}"/>
            </a:ext>
          </a:extLst>
        </xdr:cNvPr>
        <xdr:cNvSpPr>
          <a:spLocks noChangeShapeType="1"/>
        </xdr:cNvSpPr>
      </xdr:nvSpPr>
      <xdr:spPr bwMode="auto">
        <a:xfrm flipV="1">
          <a:off x="2524125" y="904875"/>
          <a:ext cx="0" cy="542925"/>
        </a:xfrm>
        <a:prstGeom prst="line">
          <a:avLst/>
        </a:prstGeom>
        <a:noFill/>
        <a:ln w="9525">
          <a:solidFill>
            <a:srgbClr val="000000"/>
          </a:solidFill>
          <a:round/>
          <a:headEnd/>
          <a:tailEnd type="triangle" w="med" len="med"/>
        </a:ln>
      </xdr:spPr>
    </xdr:sp>
    <xdr:clientData/>
  </xdr:twoCellAnchor>
  <xdr:twoCellAnchor>
    <xdr:from>
      <xdr:col>8</xdr:col>
      <xdr:colOff>0</xdr:colOff>
      <xdr:row>5</xdr:row>
      <xdr:rowOff>9525</xdr:rowOff>
    </xdr:from>
    <xdr:to>
      <xdr:col>8</xdr:col>
      <xdr:colOff>0</xdr:colOff>
      <xdr:row>8</xdr:row>
      <xdr:rowOff>0</xdr:rowOff>
    </xdr:to>
    <xdr:sp macro="" textlink="">
      <xdr:nvSpPr>
        <xdr:cNvPr id="3" name="Line 71">
          <a:extLst>
            <a:ext uri="{FF2B5EF4-FFF2-40B4-BE49-F238E27FC236}">
              <a16:creationId xmlns:a16="http://schemas.microsoft.com/office/drawing/2014/main" id="{00000000-0008-0000-0A00-000003000000}"/>
            </a:ext>
          </a:extLst>
        </xdr:cNvPr>
        <xdr:cNvSpPr>
          <a:spLocks noChangeShapeType="1"/>
        </xdr:cNvSpPr>
      </xdr:nvSpPr>
      <xdr:spPr bwMode="auto">
        <a:xfrm flipV="1">
          <a:off x="3762375" y="914400"/>
          <a:ext cx="0" cy="533400"/>
        </a:xfrm>
        <a:prstGeom prst="line">
          <a:avLst/>
        </a:prstGeom>
        <a:noFill/>
        <a:ln w="9525">
          <a:solidFill>
            <a:srgbClr val="000000"/>
          </a:solidFill>
          <a:round/>
          <a:headEnd/>
          <a:tailEnd type="triangle" w="med" len="med"/>
        </a:ln>
      </xdr:spPr>
    </xdr:sp>
    <xdr:clientData/>
  </xdr:twoCellAnchor>
  <xdr:twoCellAnchor>
    <xdr:from>
      <xdr:col>7</xdr:col>
      <xdr:colOff>0</xdr:colOff>
      <xdr:row>4</xdr:row>
      <xdr:rowOff>9525</xdr:rowOff>
    </xdr:from>
    <xdr:to>
      <xdr:col>7</xdr:col>
      <xdr:colOff>0</xdr:colOff>
      <xdr:row>5</xdr:row>
      <xdr:rowOff>9525</xdr:rowOff>
    </xdr:to>
    <xdr:sp macro="" textlink="">
      <xdr:nvSpPr>
        <xdr:cNvPr id="4" name="Line 72">
          <a:extLst>
            <a:ext uri="{FF2B5EF4-FFF2-40B4-BE49-F238E27FC236}">
              <a16:creationId xmlns:a16="http://schemas.microsoft.com/office/drawing/2014/main" id="{00000000-0008-0000-0A00-000004000000}"/>
            </a:ext>
          </a:extLst>
        </xdr:cNvPr>
        <xdr:cNvSpPr>
          <a:spLocks noChangeShapeType="1"/>
        </xdr:cNvSpPr>
      </xdr:nvSpPr>
      <xdr:spPr bwMode="auto">
        <a:xfrm>
          <a:off x="3105150" y="733425"/>
          <a:ext cx="0" cy="180975"/>
        </a:xfrm>
        <a:prstGeom prst="line">
          <a:avLst/>
        </a:prstGeom>
        <a:noFill/>
        <a:ln w="9525">
          <a:solidFill>
            <a:srgbClr val="000000"/>
          </a:solidFill>
          <a:round/>
          <a:headEnd/>
          <a:tailEnd type="triangle" w="med" len="med"/>
        </a:ln>
      </xdr:spPr>
    </xdr:sp>
    <xdr:clientData/>
  </xdr:twoCellAnchor>
  <xdr:twoCellAnchor>
    <xdr:from>
      <xdr:col>12</xdr:col>
      <xdr:colOff>0</xdr:colOff>
      <xdr:row>3</xdr:row>
      <xdr:rowOff>0</xdr:rowOff>
    </xdr:from>
    <xdr:to>
      <xdr:col>12</xdr:col>
      <xdr:colOff>0</xdr:colOff>
      <xdr:row>4</xdr:row>
      <xdr:rowOff>0</xdr:rowOff>
    </xdr:to>
    <xdr:sp macro="" textlink="">
      <xdr:nvSpPr>
        <xdr:cNvPr id="5" name="Line 73">
          <a:extLst>
            <a:ext uri="{FF2B5EF4-FFF2-40B4-BE49-F238E27FC236}">
              <a16:creationId xmlns:a16="http://schemas.microsoft.com/office/drawing/2014/main" id="{00000000-0008-0000-0A00-000005000000}"/>
            </a:ext>
          </a:extLst>
        </xdr:cNvPr>
        <xdr:cNvSpPr>
          <a:spLocks noChangeShapeType="1"/>
        </xdr:cNvSpPr>
      </xdr:nvSpPr>
      <xdr:spPr bwMode="auto">
        <a:xfrm>
          <a:off x="6162675" y="542925"/>
          <a:ext cx="0" cy="180975"/>
        </a:xfrm>
        <a:prstGeom prst="line">
          <a:avLst/>
        </a:prstGeom>
        <a:noFill/>
        <a:ln w="9525">
          <a:solidFill>
            <a:srgbClr val="000000"/>
          </a:solidFill>
          <a:round/>
          <a:headEnd/>
          <a:tailEnd type="triangle" w="med" len="med"/>
        </a:ln>
      </xdr:spPr>
    </xdr:sp>
    <xdr:clientData/>
  </xdr:twoCellAnchor>
  <xdr:twoCellAnchor>
    <xdr:from>
      <xdr:col>11</xdr:col>
      <xdr:colOff>47625</xdr:colOff>
      <xdr:row>1</xdr:row>
      <xdr:rowOff>152400</xdr:rowOff>
    </xdr:from>
    <xdr:to>
      <xdr:col>13</xdr:col>
      <xdr:colOff>28575</xdr:colOff>
      <xdr:row>4</xdr:row>
      <xdr:rowOff>0</xdr:rowOff>
    </xdr:to>
    <xdr:sp macro="" textlink="">
      <xdr:nvSpPr>
        <xdr:cNvPr id="6" name="Line 74">
          <a:extLst>
            <a:ext uri="{FF2B5EF4-FFF2-40B4-BE49-F238E27FC236}">
              <a16:creationId xmlns:a16="http://schemas.microsoft.com/office/drawing/2014/main" id="{00000000-0008-0000-0A00-000006000000}"/>
            </a:ext>
          </a:extLst>
        </xdr:cNvPr>
        <xdr:cNvSpPr>
          <a:spLocks noChangeShapeType="1"/>
        </xdr:cNvSpPr>
      </xdr:nvSpPr>
      <xdr:spPr bwMode="auto">
        <a:xfrm flipH="1">
          <a:off x="5629275" y="333375"/>
          <a:ext cx="1143000" cy="390525"/>
        </a:xfrm>
        <a:prstGeom prst="line">
          <a:avLst/>
        </a:prstGeom>
        <a:noFill/>
        <a:ln w="9525">
          <a:solidFill>
            <a:srgbClr val="000000"/>
          </a:solidFill>
          <a:round/>
          <a:headEnd/>
          <a:tailEnd/>
        </a:ln>
      </xdr:spPr>
    </xdr:sp>
    <xdr:clientData/>
  </xdr:twoCellAnchor>
  <xdr:twoCellAnchor>
    <xdr:from>
      <xdr:col>10</xdr:col>
      <xdr:colOff>9525</xdr:colOff>
      <xdr:row>1</xdr:row>
      <xdr:rowOff>9525</xdr:rowOff>
    </xdr:from>
    <xdr:to>
      <xdr:col>12</xdr:col>
      <xdr:colOff>0</xdr:colOff>
      <xdr:row>3</xdr:row>
      <xdr:rowOff>0</xdr:rowOff>
    </xdr:to>
    <xdr:sp macro="" textlink="">
      <xdr:nvSpPr>
        <xdr:cNvPr id="7" name="Line 75">
          <a:extLst>
            <a:ext uri="{FF2B5EF4-FFF2-40B4-BE49-F238E27FC236}">
              <a16:creationId xmlns:a16="http://schemas.microsoft.com/office/drawing/2014/main" id="{00000000-0008-0000-0A00-000007000000}"/>
            </a:ext>
          </a:extLst>
        </xdr:cNvPr>
        <xdr:cNvSpPr>
          <a:spLocks noChangeShapeType="1"/>
        </xdr:cNvSpPr>
      </xdr:nvSpPr>
      <xdr:spPr bwMode="auto">
        <a:xfrm flipH="1">
          <a:off x="5010150" y="190500"/>
          <a:ext cx="1152525" cy="352425"/>
        </a:xfrm>
        <a:prstGeom prst="line">
          <a:avLst/>
        </a:prstGeom>
        <a:noFill/>
        <a:ln w="9525">
          <a:solidFill>
            <a:srgbClr val="000000"/>
          </a:solidFill>
          <a:round/>
          <a:headEnd/>
          <a:tailEnd/>
        </a:ln>
      </xdr:spPr>
    </xdr:sp>
    <xdr:clientData/>
  </xdr:twoCellAnchor>
  <xdr:twoCellAnchor>
    <xdr:from>
      <xdr:col>11</xdr:col>
      <xdr:colOff>676275</xdr:colOff>
      <xdr:row>3</xdr:row>
      <xdr:rowOff>0</xdr:rowOff>
    </xdr:from>
    <xdr:to>
      <xdr:col>13</xdr:col>
      <xdr:colOff>666750</xdr:colOff>
      <xdr:row>5</xdr:row>
      <xdr:rowOff>9525</xdr:rowOff>
    </xdr:to>
    <xdr:sp macro="" textlink="">
      <xdr:nvSpPr>
        <xdr:cNvPr id="8" name="Line 76">
          <a:extLst>
            <a:ext uri="{FF2B5EF4-FFF2-40B4-BE49-F238E27FC236}">
              <a16:creationId xmlns:a16="http://schemas.microsoft.com/office/drawing/2014/main" id="{00000000-0008-0000-0A00-000008000000}"/>
            </a:ext>
          </a:extLst>
        </xdr:cNvPr>
        <xdr:cNvSpPr>
          <a:spLocks noChangeShapeType="1"/>
        </xdr:cNvSpPr>
      </xdr:nvSpPr>
      <xdr:spPr bwMode="auto">
        <a:xfrm flipH="1">
          <a:off x="6162675" y="542925"/>
          <a:ext cx="1162050" cy="371475"/>
        </a:xfrm>
        <a:prstGeom prst="line">
          <a:avLst/>
        </a:prstGeom>
        <a:noFill/>
        <a:ln w="9525">
          <a:solidFill>
            <a:srgbClr val="000000"/>
          </a:solidFill>
          <a:round/>
          <a:headEnd/>
          <a:tailEnd/>
        </a:ln>
      </xdr:spPr>
    </xdr:sp>
    <xdr:clientData/>
  </xdr:twoCellAnchor>
  <xdr:twoCellAnchor>
    <xdr:from>
      <xdr:col>11</xdr:col>
      <xdr:colOff>0</xdr:colOff>
      <xdr:row>4</xdr:row>
      <xdr:rowOff>0</xdr:rowOff>
    </xdr:from>
    <xdr:to>
      <xdr:col>11</xdr:col>
      <xdr:colOff>0</xdr:colOff>
      <xdr:row>5</xdr:row>
      <xdr:rowOff>9525</xdr:rowOff>
    </xdr:to>
    <xdr:sp macro="" textlink="">
      <xdr:nvSpPr>
        <xdr:cNvPr id="9" name="Line 77">
          <a:extLst>
            <a:ext uri="{FF2B5EF4-FFF2-40B4-BE49-F238E27FC236}">
              <a16:creationId xmlns:a16="http://schemas.microsoft.com/office/drawing/2014/main" id="{00000000-0008-0000-0A00-000009000000}"/>
            </a:ext>
          </a:extLst>
        </xdr:cNvPr>
        <xdr:cNvSpPr>
          <a:spLocks noChangeShapeType="1"/>
        </xdr:cNvSpPr>
      </xdr:nvSpPr>
      <xdr:spPr bwMode="auto">
        <a:xfrm>
          <a:off x="5581650" y="723900"/>
          <a:ext cx="0" cy="190500"/>
        </a:xfrm>
        <a:prstGeom prst="line">
          <a:avLst/>
        </a:prstGeom>
        <a:noFill/>
        <a:ln w="9525">
          <a:solidFill>
            <a:srgbClr val="000000"/>
          </a:solidFill>
          <a:round/>
          <a:headEnd/>
          <a:tailEnd/>
        </a:ln>
      </xdr:spPr>
    </xdr:sp>
    <xdr:clientData/>
  </xdr:twoCellAnchor>
  <xdr:twoCellAnchor>
    <xdr:from>
      <xdr:col>10</xdr:col>
      <xdr:colOff>0</xdr:colOff>
      <xdr:row>3</xdr:row>
      <xdr:rowOff>9525</xdr:rowOff>
    </xdr:from>
    <xdr:to>
      <xdr:col>10</xdr:col>
      <xdr:colOff>0</xdr:colOff>
      <xdr:row>4</xdr:row>
      <xdr:rowOff>9525</xdr:rowOff>
    </xdr:to>
    <xdr:sp macro="" textlink="">
      <xdr:nvSpPr>
        <xdr:cNvPr id="10" name="Line 78">
          <a:extLst>
            <a:ext uri="{FF2B5EF4-FFF2-40B4-BE49-F238E27FC236}">
              <a16:creationId xmlns:a16="http://schemas.microsoft.com/office/drawing/2014/main" id="{00000000-0008-0000-0A00-00000A000000}"/>
            </a:ext>
          </a:extLst>
        </xdr:cNvPr>
        <xdr:cNvSpPr>
          <a:spLocks noChangeShapeType="1"/>
        </xdr:cNvSpPr>
      </xdr:nvSpPr>
      <xdr:spPr bwMode="auto">
        <a:xfrm>
          <a:off x="5000625" y="552450"/>
          <a:ext cx="0" cy="180975"/>
        </a:xfrm>
        <a:prstGeom prst="line">
          <a:avLst/>
        </a:prstGeom>
        <a:noFill/>
        <a:ln w="9525">
          <a:solidFill>
            <a:srgbClr val="000000"/>
          </a:solidFill>
          <a:round/>
          <a:headEnd/>
          <a:tailEnd/>
        </a:ln>
      </xdr:spPr>
    </xdr:sp>
    <xdr:clientData/>
  </xdr:twoCellAnchor>
  <xdr:twoCellAnchor>
    <xdr:from>
      <xdr:col>12</xdr:col>
      <xdr:colOff>9525</xdr:colOff>
      <xdr:row>5</xdr:row>
      <xdr:rowOff>9525</xdr:rowOff>
    </xdr:from>
    <xdr:to>
      <xdr:col>12</xdr:col>
      <xdr:colOff>9525</xdr:colOff>
      <xdr:row>6</xdr:row>
      <xdr:rowOff>19050</xdr:rowOff>
    </xdr:to>
    <xdr:sp macro="" textlink="">
      <xdr:nvSpPr>
        <xdr:cNvPr id="11" name="Line 77">
          <a:extLst>
            <a:ext uri="{FF2B5EF4-FFF2-40B4-BE49-F238E27FC236}">
              <a16:creationId xmlns:a16="http://schemas.microsoft.com/office/drawing/2014/main" id="{00000000-0008-0000-0A00-00000B000000}"/>
            </a:ext>
          </a:extLst>
        </xdr:cNvPr>
        <xdr:cNvSpPr>
          <a:spLocks noChangeShapeType="1"/>
        </xdr:cNvSpPr>
      </xdr:nvSpPr>
      <xdr:spPr bwMode="auto">
        <a:xfrm>
          <a:off x="6172200" y="914400"/>
          <a:ext cx="0" cy="190500"/>
        </a:xfrm>
        <a:prstGeom prst="line">
          <a:avLst/>
        </a:prstGeom>
        <a:noFill/>
        <a:ln w="9525">
          <a:solidFill>
            <a:srgbClr val="000000"/>
          </a:solidFill>
          <a:round/>
          <a:headEnd/>
          <a:tailEnd/>
        </a:ln>
      </xdr:spPr>
    </xdr:sp>
    <xdr:clientData/>
  </xdr:twoCellAnchor>
  <xdr:twoCellAnchor>
    <xdr:from>
      <xdr:col>18</xdr:col>
      <xdr:colOff>9525</xdr:colOff>
      <xdr:row>1</xdr:row>
      <xdr:rowOff>142875</xdr:rowOff>
    </xdr:from>
    <xdr:to>
      <xdr:col>18</xdr:col>
      <xdr:colOff>9525</xdr:colOff>
      <xdr:row>2</xdr:row>
      <xdr:rowOff>142875</xdr:rowOff>
    </xdr:to>
    <xdr:sp macro="" textlink="">
      <xdr:nvSpPr>
        <xdr:cNvPr id="12" name="Line 73">
          <a:extLst>
            <a:ext uri="{FF2B5EF4-FFF2-40B4-BE49-F238E27FC236}">
              <a16:creationId xmlns:a16="http://schemas.microsoft.com/office/drawing/2014/main" id="{00000000-0008-0000-0A00-00000C000000}"/>
            </a:ext>
          </a:extLst>
        </xdr:cNvPr>
        <xdr:cNvSpPr>
          <a:spLocks noChangeShapeType="1"/>
        </xdr:cNvSpPr>
      </xdr:nvSpPr>
      <xdr:spPr bwMode="auto">
        <a:xfrm>
          <a:off x="9658350" y="323850"/>
          <a:ext cx="0" cy="180975"/>
        </a:xfrm>
        <a:prstGeom prst="line">
          <a:avLst/>
        </a:prstGeom>
        <a:noFill/>
        <a:ln w="9525">
          <a:solidFill>
            <a:srgbClr val="000000"/>
          </a:solidFill>
          <a:round/>
          <a:headEnd/>
          <a:tailEnd type="triangle" w="med" len="med"/>
        </a:ln>
      </xdr:spPr>
    </xdr:sp>
    <xdr:clientData/>
  </xdr:twoCellAnchor>
  <xdr:twoCellAnchor>
    <xdr:from>
      <xdr:col>17</xdr:col>
      <xdr:colOff>47625</xdr:colOff>
      <xdr:row>1</xdr:row>
      <xdr:rowOff>152400</xdr:rowOff>
    </xdr:from>
    <xdr:to>
      <xdr:col>19</xdr:col>
      <xdr:colOff>28575</xdr:colOff>
      <xdr:row>4</xdr:row>
      <xdr:rowOff>0</xdr:rowOff>
    </xdr:to>
    <xdr:sp macro="" textlink="">
      <xdr:nvSpPr>
        <xdr:cNvPr id="13" name="Line 74">
          <a:extLst>
            <a:ext uri="{FF2B5EF4-FFF2-40B4-BE49-F238E27FC236}">
              <a16:creationId xmlns:a16="http://schemas.microsoft.com/office/drawing/2014/main" id="{00000000-0008-0000-0A00-00000D000000}"/>
            </a:ext>
          </a:extLst>
        </xdr:cNvPr>
        <xdr:cNvSpPr>
          <a:spLocks noChangeShapeType="1"/>
        </xdr:cNvSpPr>
      </xdr:nvSpPr>
      <xdr:spPr bwMode="auto">
        <a:xfrm flipH="1">
          <a:off x="9115425" y="333375"/>
          <a:ext cx="1143000" cy="390525"/>
        </a:xfrm>
        <a:prstGeom prst="line">
          <a:avLst/>
        </a:prstGeom>
        <a:noFill/>
        <a:ln w="9525">
          <a:solidFill>
            <a:srgbClr val="000000"/>
          </a:solidFill>
          <a:round/>
          <a:headEnd/>
          <a:tailEnd/>
        </a:ln>
      </xdr:spPr>
    </xdr:sp>
    <xdr:clientData/>
  </xdr:twoCellAnchor>
  <xdr:twoCellAnchor>
    <xdr:from>
      <xdr:col>16</xdr:col>
      <xdr:colOff>9525</xdr:colOff>
      <xdr:row>1</xdr:row>
      <xdr:rowOff>9525</xdr:rowOff>
    </xdr:from>
    <xdr:to>
      <xdr:col>18</xdr:col>
      <xdr:colOff>0</xdr:colOff>
      <xdr:row>3</xdr:row>
      <xdr:rowOff>0</xdr:rowOff>
    </xdr:to>
    <xdr:sp macro="" textlink="">
      <xdr:nvSpPr>
        <xdr:cNvPr id="14" name="Line 75">
          <a:extLst>
            <a:ext uri="{FF2B5EF4-FFF2-40B4-BE49-F238E27FC236}">
              <a16:creationId xmlns:a16="http://schemas.microsoft.com/office/drawing/2014/main" id="{00000000-0008-0000-0A00-00000E000000}"/>
            </a:ext>
          </a:extLst>
        </xdr:cNvPr>
        <xdr:cNvSpPr>
          <a:spLocks noChangeShapeType="1"/>
        </xdr:cNvSpPr>
      </xdr:nvSpPr>
      <xdr:spPr bwMode="auto">
        <a:xfrm flipH="1">
          <a:off x="8496300" y="190500"/>
          <a:ext cx="1152525" cy="352425"/>
        </a:xfrm>
        <a:prstGeom prst="line">
          <a:avLst/>
        </a:prstGeom>
        <a:noFill/>
        <a:ln w="9525">
          <a:solidFill>
            <a:srgbClr val="000000"/>
          </a:solidFill>
          <a:round/>
          <a:headEnd/>
          <a:tailEnd/>
        </a:ln>
      </xdr:spPr>
    </xdr:sp>
    <xdr:clientData/>
  </xdr:twoCellAnchor>
  <xdr:twoCellAnchor>
    <xdr:from>
      <xdr:col>17</xdr:col>
      <xdr:colOff>676275</xdr:colOff>
      <xdr:row>3</xdr:row>
      <xdr:rowOff>0</xdr:rowOff>
    </xdr:from>
    <xdr:to>
      <xdr:col>19</xdr:col>
      <xdr:colOff>666750</xdr:colOff>
      <xdr:row>5</xdr:row>
      <xdr:rowOff>9525</xdr:rowOff>
    </xdr:to>
    <xdr:sp macro="" textlink="">
      <xdr:nvSpPr>
        <xdr:cNvPr id="15" name="Line 76">
          <a:extLst>
            <a:ext uri="{FF2B5EF4-FFF2-40B4-BE49-F238E27FC236}">
              <a16:creationId xmlns:a16="http://schemas.microsoft.com/office/drawing/2014/main" id="{00000000-0008-0000-0A00-00000F000000}"/>
            </a:ext>
          </a:extLst>
        </xdr:cNvPr>
        <xdr:cNvSpPr>
          <a:spLocks noChangeShapeType="1"/>
        </xdr:cNvSpPr>
      </xdr:nvSpPr>
      <xdr:spPr bwMode="auto">
        <a:xfrm flipH="1">
          <a:off x="9648825" y="542925"/>
          <a:ext cx="1162050" cy="371475"/>
        </a:xfrm>
        <a:prstGeom prst="line">
          <a:avLst/>
        </a:prstGeom>
        <a:noFill/>
        <a:ln w="9525">
          <a:solidFill>
            <a:srgbClr val="000000"/>
          </a:solidFill>
          <a:round/>
          <a:headEnd/>
          <a:tailEnd/>
        </a:ln>
      </xdr:spPr>
    </xdr:sp>
    <xdr:clientData/>
  </xdr:twoCellAnchor>
  <xdr:twoCellAnchor>
    <xdr:from>
      <xdr:col>17</xdr:col>
      <xdr:colOff>0</xdr:colOff>
      <xdr:row>4</xdr:row>
      <xdr:rowOff>0</xdr:rowOff>
    </xdr:from>
    <xdr:to>
      <xdr:col>17</xdr:col>
      <xdr:colOff>0</xdr:colOff>
      <xdr:row>5</xdr:row>
      <xdr:rowOff>9525</xdr:rowOff>
    </xdr:to>
    <xdr:sp macro="" textlink="">
      <xdr:nvSpPr>
        <xdr:cNvPr id="16" name="Line 77">
          <a:extLst>
            <a:ext uri="{FF2B5EF4-FFF2-40B4-BE49-F238E27FC236}">
              <a16:creationId xmlns:a16="http://schemas.microsoft.com/office/drawing/2014/main" id="{00000000-0008-0000-0A00-000010000000}"/>
            </a:ext>
          </a:extLst>
        </xdr:cNvPr>
        <xdr:cNvSpPr>
          <a:spLocks noChangeShapeType="1"/>
        </xdr:cNvSpPr>
      </xdr:nvSpPr>
      <xdr:spPr bwMode="auto">
        <a:xfrm>
          <a:off x="9067800" y="723900"/>
          <a:ext cx="0" cy="190500"/>
        </a:xfrm>
        <a:prstGeom prst="line">
          <a:avLst/>
        </a:prstGeom>
        <a:noFill/>
        <a:ln w="9525">
          <a:solidFill>
            <a:srgbClr val="000000"/>
          </a:solidFill>
          <a:round/>
          <a:headEnd/>
          <a:tailEnd/>
        </a:ln>
      </xdr:spPr>
    </xdr:sp>
    <xdr:clientData/>
  </xdr:twoCellAnchor>
  <xdr:twoCellAnchor>
    <xdr:from>
      <xdr:col>16</xdr:col>
      <xdr:colOff>0</xdr:colOff>
      <xdr:row>3</xdr:row>
      <xdr:rowOff>9525</xdr:rowOff>
    </xdr:from>
    <xdr:to>
      <xdr:col>16</xdr:col>
      <xdr:colOff>0</xdr:colOff>
      <xdr:row>4</xdr:row>
      <xdr:rowOff>9525</xdr:rowOff>
    </xdr:to>
    <xdr:sp macro="" textlink="">
      <xdr:nvSpPr>
        <xdr:cNvPr id="17" name="Line 78">
          <a:extLst>
            <a:ext uri="{FF2B5EF4-FFF2-40B4-BE49-F238E27FC236}">
              <a16:creationId xmlns:a16="http://schemas.microsoft.com/office/drawing/2014/main" id="{00000000-0008-0000-0A00-000011000000}"/>
            </a:ext>
          </a:extLst>
        </xdr:cNvPr>
        <xdr:cNvSpPr>
          <a:spLocks noChangeShapeType="1"/>
        </xdr:cNvSpPr>
      </xdr:nvSpPr>
      <xdr:spPr bwMode="auto">
        <a:xfrm>
          <a:off x="8486775" y="552450"/>
          <a:ext cx="0" cy="180975"/>
        </a:xfrm>
        <a:prstGeom prst="line">
          <a:avLst/>
        </a:prstGeom>
        <a:noFill/>
        <a:ln w="9525">
          <a:solidFill>
            <a:srgbClr val="000000"/>
          </a:solidFill>
          <a:round/>
          <a:headEnd/>
          <a:tailEnd/>
        </a:ln>
      </xdr:spPr>
    </xdr:sp>
    <xdr:clientData/>
  </xdr:twoCellAnchor>
  <xdr:twoCellAnchor>
    <xdr:from>
      <xdr:col>18</xdr:col>
      <xdr:colOff>9525</xdr:colOff>
      <xdr:row>5</xdr:row>
      <xdr:rowOff>9525</xdr:rowOff>
    </xdr:from>
    <xdr:to>
      <xdr:col>18</xdr:col>
      <xdr:colOff>9525</xdr:colOff>
      <xdr:row>6</xdr:row>
      <xdr:rowOff>19050</xdr:rowOff>
    </xdr:to>
    <xdr:sp macro="" textlink="">
      <xdr:nvSpPr>
        <xdr:cNvPr id="18" name="Line 77">
          <a:extLst>
            <a:ext uri="{FF2B5EF4-FFF2-40B4-BE49-F238E27FC236}">
              <a16:creationId xmlns:a16="http://schemas.microsoft.com/office/drawing/2014/main" id="{00000000-0008-0000-0A00-000012000000}"/>
            </a:ext>
          </a:extLst>
        </xdr:cNvPr>
        <xdr:cNvSpPr>
          <a:spLocks noChangeShapeType="1"/>
        </xdr:cNvSpPr>
      </xdr:nvSpPr>
      <xdr:spPr bwMode="auto">
        <a:xfrm>
          <a:off x="9658350" y="914400"/>
          <a:ext cx="0" cy="190500"/>
        </a:xfrm>
        <a:prstGeom prst="line">
          <a:avLst/>
        </a:prstGeom>
        <a:noFill/>
        <a:ln w="9525">
          <a:solidFill>
            <a:srgbClr val="000000"/>
          </a:solidFill>
          <a:round/>
          <a:headEnd/>
          <a:tailEnd/>
        </a:ln>
      </xdr:spPr>
    </xdr:sp>
    <xdr:clientData/>
  </xdr:twoCellAnchor>
  <xdr:twoCellAnchor>
    <xdr:from>
      <xdr:col>5</xdr:col>
      <xdr:colOff>0</xdr:colOff>
      <xdr:row>47</xdr:row>
      <xdr:rowOff>0</xdr:rowOff>
    </xdr:from>
    <xdr:to>
      <xdr:col>5</xdr:col>
      <xdr:colOff>0</xdr:colOff>
      <xdr:row>50</xdr:row>
      <xdr:rowOff>0</xdr:rowOff>
    </xdr:to>
    <xdr:sp macro="" textlink="">
      <xdr:nvSpPr>
        <xdr:cNvPr id="19" name="Line 79">
          <a:extLst>
            <a:ext uri="{FF2B5EF4-FFF2-40B4-BE49-F238E27FC236}">
              <a16:creationId xmlns:a16="http://schemas.microsoft.com/office/drawing/2014/main" id="{00000000-0008-0000-0A00-000013000000}"/>
            </a:ext>
          </a:extLst>
        </xdr:cNvPr>
        <xdr:cNvSpPr>
          <a:spLocks noChangeShapeType="1"/>
        </xdr:cNvSpPr>
      </xdr:nvSpPr>
      <xdr:spPr bwMode="auto">
        <a:xfrm flipV="1">
          <a:off x="1943100" y="8410575"/>
          <a:ext cx="0" cy="542925"/>
        </a:xfrm>
        <a:prstGeom prst="line">
          <a:avLst/>
        </a:prstGeom>
        <a:noFill/>
        <a:ln w="9525">
          <a:solidFill>
            <a:srgbClr val="000000"/>
          </a:solidFill>
          <a:round/>
          <a:headEnd/>
          <a:tailEnd type="triangle" w="med" len="med"/>
        </a:ln>
      </xdr:spPr>
    </xdr:sp>
    <xdr:clientData/>
  </xdr:twoCellAnchor>
  <xdr:twoCellAnchor>
    <xdr:from>
      <xdr:col>7</xdr:col>
      <xdr:colOff>0</xdr:colOff>
      <xdr:row>47</xdr:row>
      <xdr:rowOff>9525</xdr:rowOff>
    </xdr:from>
    <xdr:to>
      <xdr:col>7</xdr:col>
      <xdr:colOff>0</xdr:colOff>
      <xdr:row>50</xdr:row>
      <xdr:rowOff>9525</xdr:rowOff>
    </xdr:to>
    <xdr:sp macro="" textlink="">
      <xdr:nvSpPr>
        <xdr:cNvPr id="20" name="Line 80">
          <a:extLst>
            <a:ext uri="{FF2B5EF4-FFF2-40B4-BE49-F238E27FC236}">
              <a16:creationId xmlns:a16="http://schemas.microsoft.com/office/drawing/2014/main" id="{00000000-0008-0000-0A00-000014000000}"/>
            </a:ext>
          </a:extLst>
        </xdr:cNvPr>
        <xdr:cNvSpPr>
          <a:spLocks noChangeShapeType="1"/>
        </xdr:cNvSpPr>
      </xdr:nvSpPr>
      <xdr:spPr bwMode="auto">
        <a:xfrm flipV="1">
          <a:off x="3105150" y="8420100"/>
          <a:ext cx="0" cy="542925"/>
        </a:xfrm>
        <a:prstGeom prst="line">
          <a:avLst/>
        </a:prstGeom>
        <a:noFill/>
        <a:ln w="9525">
          <a:solidFill>
            <a:srgbClr val="000000"/>
          </a:solidFill>
          <a:round/>
          <a:headEnd/>
          <a:tailEnd type="triangle" w="med" len="med"/>
        </a:ln>
      </xdr:spPr>
    </xdr:sp>
    <xdr:clientData/>
  </xdr:twoCellAnchor>
  <xdr:twoCellAnchor>
    <xdr:from>
      <xdr:col>5</xdr:col>
      <xdr:colOff>447675</xdr:colOff>
      <xdr:row>46</xdr:row>
      <xdr:rowOff>0</xdr:rowOff>
    </xdr:from>
    <xdr:to>
      <xdr:col>5</xdr:col>
      <xdr:colOff>447675</xdr:colOff>
      <xdr:row>47</xdr:row>
      <xdr:rowOff>0</xdr:rowOff>
    </xdr:to>
    <xdr:sp macro="" textlink="">
      <xdr:nvSpPr>
        <xdr:cNvPr id="21" name="Line 83">
          <a:extLst>
            <a:ext uri="{FF2B5EF4-FFF2-40B4-BE49-F238E27FC236}">
              <a16:creationId xmlns:a16="http://schemas.microsoft.com/office/drawing/2014/main" id="{00000000-0008-0000-0A00-000015000000}"/>
            </a:ext>
          </a:extLst>
        </xdr:cNvPr>
        <xdr:cNvSpPr>
          <a:spLocks noChangeShapeType="1"/>
        </xdr:cNvSpPr>
      </xdr:nvSpPr>
      <xdr:spPr bwMode="auto">
        <a:xfrm>
          <a:off x="2390775" y="8229600"/>
          <a:ext cx="0" cy="180975"/>
        </a:xfrm>
        <a:prstGeom prst="line">
          <a:avLst/>
        </a:prstGeom>
        <a:noFill/>
        <a:ln w="9525">
          <a:solidFill>
            <a:srgbClr val="000000"/>
          </a:solidFill>
          <a:round/>
          <a:headEnd/>
          <a:tailEnd type="triangle" w="med" len="med"/>
        </a:ln>
      </xdr:spPr>
    </xdr:sp>
    <xdr:clientData/>
  </xdr:twoCellAnchor>
  <xdr:twoCellAnchor>
    <xdr:from>
      <xdr:col>6</xdr:col>
      <xdr:colOff>238125</xdr:colOff>
      <xdr:row>46</xdr:row>
      <xdr:rowOff>0</xdr:rowOff>
    </xdr:from>
    <xdr:to>
      <xdr:col>6</xdr:col>
      <xdr:colOff>238125</xdr:colOff>
      <xdr:row>47</xdr:row>
      <xdr:rowOff>0</xdr:rowOff>
    </xdr:to>
    <xdr:sp macro="" textlink="">
      <xdr:nvSpPr>
        <xdr:cNvPr id="22" name="Line 84">
          <a:extLst>
            <a:ext uri="{FF2B5EF4-FFF2-40B4-BE49-F238E27FC236}">
              <a16:creationId xmlns:a16="http://schemas.microsoft.com/office/drawing/2014/main" id="{00000000-0008-0000-0A00-000016000000}"/>
            </a:ext>
          </a:extLst>
        </xdr:cNvPr>
        <xdr:cNvSpPr>
          <a:spLocks noChangeShapeType="1"/>
        </xdr:cNvSpPr>
      </xdr:nvSpPr>
      <xdr:spPr bwMode="auto">
        <a:xfrm>
          <a:off x="2762250" y="8229600"/>
          <a:ext cx="0" cy="180975"/>
        </a:xfrm>
        <a:prstGeom prst="line">
          <a:avLst/>
        </a:prstGeom>
        <a:noFill/>
        <a:ln w="9525">
          <a:solidFill>
            <a:srgbClr val="000000"/>
          </a:solidFill>
          <a:round/>
          <a:headEnd/>
          <a:tailEnd type="triangle" w="med" len="med"/>
        </a:ln>
      </xdr:spPr>
    </xdr:sp>
    <xdr:clientData/>
  </xdr:twoCellAnchor>
  <xdr:twoCellAnchor>
    <xdr:from>
      <xdr:col>6</xdr:col>
      <xdr:colOff>228600</xdr:colOff>
      <xdr:row>47</xdr:row>
      <xdr:rowOff>114300</xdr:rowOff>
    </xdr:from>
    <xdr:to>
      <xdr:col>6</xdr:col>
      <xdr:colOff>228600</xdr:colOff>
      <xdr:row>49</xdr:row>
      <xdr:rowOff>0</xdr:rowOff>
    </xdr:to>
    <xdr:cxnSp macro="">
      <xdr:nvCxnSpPr>
        <xdr:cNvPr id="23" name="直線コネクタ 22">
          <a:extLst>
            <a:ext uri="{FF2B5EF4-FFF2-40B4-BE49-F238E27FC236}">
              <a16:creationId xmlns:a16="http://schemas.microsoft.com/office/drawing/2014/main" id="{00000000-0008-0000-0A00-000017000000}"/>
            </a:ext>
          </a:extLst>
        </xdr:cNvPr>
        <xdr:cNvCxnSpPr/>
      </xdr:nvCxnSpPr>
      <xdr:spPr>
        <a:xfrm rot="5400000">
          <a:off x="2628900" y="8648700"/>
          <a:ext cx="247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438151</xdr:colOff>
      <xdr:row>47</xdr:row>
      <xdr:rowOff>161924</xdr:rowOff>
    </xdr:from>
    <xdr:to>
      <xdr:col>5</xdr:col>
      <xdr:colOff>438151</xdr:colOff>
      <xdr:row>48</xdr:row>
      <xdr:rowOff>180974</xdr:rowOff>
    </xdr:to>
    <xdr:cxnSp macro="">
      <xdr:nvCxnSpPr>
        <xdr:cNvPr id="24" name="直線コネクタ 23">
          <a:extLst>
            <a:ext uri="{FF2B5EF4-FFF2-40B4-BE49-F238E27FC236}">
              <a16:creationId xmlns:a16="http://schemas.microsoft.com/office/drawing/2014/main" id="{00000000-0008-0000-0A00-000018000000}"/>
            </a:ext>
          </a:extLst>
        </xdr:cNvPr>
        <xdr:cNvCxnSpPr/>
      </xdr:nvCxnSpPr>
      <xdr:spPr>
        <a:xfrm rot="5400000">
          <a:off x="2281238" y="8672512"/>
          <a:ext cx="200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0</xdr:colOff>
      <xdr:row>47</xdr:row>
      <xdr:rowOff>0</xdr:rowOff>
    </xdr:from>
    <xdr:to>
      <xdr:col>43</xdr:col>
      <xdr:colOff>0</xdr:colOff>
      <xdr:row>48</xdr:row>
      <xdr:rowOff>171450</xdr:rowOff>
    </xdr:to>
    <xdr:cxnSp macro="">
      <xdr:nvCxnSpPr>
        <xdr:cNvPr id="27" name="直線コネクタ 26">
          <a:extLst>
            <a:ext uri="{FF2B5EF4-FFF2-40B4-BE49-F238E27FC236}">
              <a16:creationId xmlns:a16="http://schemas.microsoft.com/office/drawing/2014/main" id="{00000000-0008-0000-0A00-00001B000000}"/>
            </a:ext>
          </a:extLst>
        </xdr:cNvPr>
        <xdr:cNvCxnSpPr/>
      </xdr:nvCxnSpPr>
      <xdr:spPr>
        <a:xfrm>
          <a:off x="22298025" y="8410575"/>
          <a:ext cx="6858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0</xdr:colOff>
      <xdr:row>47</xdr:row>
      <xdr:rowOff>9524</xdr:rowOff>
    </xdr:from>
    <xdr:to>
      <xdr:col>46</xdr:col>
      <xdr:colOff>0</xdr:colOff>
      <xdr:row>48</xdr:row>
      <xdr:rowOff>180974</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a:xfrm rot="10800000" flipV="1">
          <a:off x="22983825" y="8420099"/>
          <a:ext cx="2200275"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0</xdr:colOff>
      <xdr:row>47</xdr:row>
      <xdr:rowOff>0</xdr:rowOff>
    </xdr:from>
    <xdr:to>
      <xdr:col>50</xdr:col>
      <xdr:colOff>0</xdr:colOff>
      <xdr:row>48</xdr:row>
      <xdr:rowOff>171450</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a:xfrm>
          <a:off x="27241500" y="8410575"/>
          <a:ext cx="6858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0</xdr:colOff>
      <xdr:row>47</xdr:row>
      <xdr:rowOff>9524</xdr:rowOff>
    </xdr:from>
    <xdr:to>
      <xdr:col>53</xdr:col>
      <xdr:colOff>0</xdr:colOff>
      <xdr:row>48</xdr:row>
      <xdr:rowOff>180974</xdr:rowOff>
    </xdr:to>
    <xdr:cxnSp macro="">
      <xdr:nvCxnSpPr>
        <xdr:cNvPr id="30" name="直線コネクタ 29">
          <a:extLst>
            <a:ext uri="{FF2B5EF4-FFF2-40B4-BE49-F238E27FC236}">
              <a16:creationId xmlns:a16="http://schemas.microsoft.com/office/drawing/2014/main" id="{00000000-0008-0000-0A00-00001E000000}"/>
            </a:ext>
          </a:extLst>
        </xdr:cNvPr>
        <xdr:cNvCxnSpPr/>
      </xdr:nvCxnSpPr>
      <xdr:spPr>
        <a:xfrm rot="10800000" flipV="1">
          <a:off x="27927300" y="8420099"/>
          <a:ext cx="2057400" cy="352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9525</xdr:colOff>
      <xdr:row>46</xdr:row>
      <xdr:rowOff>171450</xdr:rowOff>
    </xdr:from>
    <xdr:to>
      <xdr:col>52</xdr:col>
      <xdr:colOff>0</xdr:colOff>
      <xdr:row>50</xdr:row>
      <xdr:rowOff>0</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a:xfrm>
          <a:off x="27251025" y="8401050"/>
          <a:ext cx="2047875"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xdr:colOff>
      <xdr:row>46</xdr:row>
      <xdr:rowOff>171450</xdr:rowOff>
    </xdr:from>
    <xdr:to>
      <xdr:col>53</xdr:col>
      <xdr:colOff>9525</xdr:colOff>
      <xdr:row>50</xdr:row>
      <xdr:rowOff>0</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a:xfrm rot="10800000" flipV="1">
          <a:off x="29308425" y="8401050"/>
          <a:ext cx="685800"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685799</xdr:colOff>
      <xdr:row>47</xdr:row>
      <xdr:rowOff>1</xdr:rowOff>
    </xdr:from>
    <xdr:to>
      <xdr:col>53</xdr:col>
      <xdr:colOff>9524</xdr:colOff>
      <xdr:row>51</xdr:row>
      <xdr:rowOff>9526</xdr:rowOff>
    </xdr:to>
    <xdr:cxnSp macro="">
      <xdr:nvCxnSpPr>
        <xdr:cNvPr id="33" name="直線コネクタ 32">
          <a:extLst>
            <a:ext uri="{FF2B5EF4-FFF2-40B4-BE49-F238E27FC236}">
              <a16:creationId xmlns:a16="http://schemas.microsoft.com/office/drawing/2014/main" id="{00000000-0008-0000-0A00-000021000000}"/>
            </a:ext>
          </a:extLst>
        </xdr:cNvPr>
        <xdr:cNvCxnSpPr/>
      </xdr:nvCxnSpPr>
      <xdr:spPr>
        <a:xfrm rot="5400000" flipH="1" flipV="1">
          <a:off x="29275087" y="8434388"/>
          <a:ext cx="742950" cy="6953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48</xdr:col>
      <xdr:colOff>676275</xdr:colOff>
      <xdr:row>47</xdr:row>
      <xdr:rowOff>0</xdr:rowOff>
    </xdr:from>
    <xdr:to>
      <xdr:col>52</xdr:col>
      <xdr:colOff>9525</xdr:colOff>
      <xdr:row>51</xdr:row>
      <xdr:rowOff>19050</xdr:rowOff>
    </xdr:to>
    <xdr:cxnSp macro="">
      <xdr:nvCxnSpPr>
        <xdr:cNvPr id="34" name="直線コネクタ 33">
          <a:extLst>
            <a:ext uri="{FF2B5EF4-FFF2-40B4-BE49-F238E27FC236}">
              <a16:creationId xmlns:a16="http://schemas.microsoft.com/office/drawing/2014/main" id="{00000000-0008-0000-0A00-000022000000}"/>
            </a:ext>
          </a:extLst>
        </xdr:cNvPr>
        <xdr:cNvCxnSpPr/>
      </xdr:nvCxnSpPr>
      <xdr:spPr>
        <a:xfrm>
          <a:off x="27231975" y="8410575"/>
          <a:ext cx="2076450" cy="75247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24</xdr:col>
      <xdr:colOff>342900</xdr:colOff>
      <xdr:row>3</xdr:row>
      <xdr:rowOff>123825</xdr:rowOff>
    </xdr:from>
    <xdr:to>
      <xdr:col>25</xdr:col>
      <xdr:colOff>0</xdr:colOff>
      <xdr:row>5</xdr:row>
      <xdr:rowOff>9525</xdr:rowOff>
    </xdr:to>
    <xdr:cxnSp macro="">
      <xdr:nvCxnSpPr>
        <xdr:cNvPr id="26" name="直線矢印コネクタ 25">
          <a:extLst>
            <a:ext uri="{FF2B5EF4-FFF2-40B4-BE49-F238E27FC236}">
              <a16:creationId xmlns:a16="http://schemas.microsoft.com/office/drawing/2014/main" id="{00000000-0008-0000-0A00-00001A000000}"/>
            </a:ext>
          </a:extLst>
        </xdr:cNvPr>
        <xdr:cNvCxnSpPr/>
      </xdr:nvCxnSpPr>
      <xdr:spPr>
        <a:xfrm flipH="1" flipV="1">
          <a:off x="13268325" y="666750"/>
          <a:ext cx="238125" cy="2476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295275</xdr:colOff>
      <xdr:row>5</xdr:row>
      <xdr:rowOff>0</xdr:rowOff>
    </xdr:from>
    <xdr:to>
      <xdr:col>21</xdr:col>
      <xdr:colOff>9525</xdr:colOff>
      <xdr:row>5</xdr:row>
      <xdr:rowOff>104775</xdr:rowOff>
    </xdr:to>
    <xdr:cxnSp macro="">
      <xdr:nvCxnSpPr>
        <xdr:cNvPr id="36" name="直線コネクタ 35">
          <a:extLst>
            <a:ext uri="{FF2B5EF4-FFF2-40B4-BE49-F238E27FC236}">
              <a16:creationId xmlns:a16="http://schemas.microsoft.com/office/drawing/2014/main" id="{00000000-0008-0000-0A00-000024000000}"/>
            </a:ext>
          </a:extLst>
        </xdr:cNvPr>
        <xdr:cNvCxnSpPr/>
      </xdr:nvCxnSpPr>
      <xdr:spPr>
        <a:xfrm flipH="1">
          <a:off x="10896600" y="904875"/>
          <a:ext cx="295275"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295275</xdr:colOff>
      <xdr:row>7</xdr:row>
      <xdr:rowOff>0</xdr:rowOff>
    </xdr:from>
    <xdr:to>
      <xdr:col>23</xdr:col>
      <xdr:colOff>9525</xdr:colOff>
      <xdr:row>7</xdr:row>
      <xdr:rowOff>104775</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a:xfrm flipH="1">
          <a:off x="12058650" y="1266825"/>
          <a:ext cx="295275"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314325</xdr:colOff>
      <xdr:row>5</xdr:row>
      <xdr:rowOff>114300</xdr:rowOff>
    </xdr:from>
    <xdr:to>
      <xdr:col>22</xdr:col>
      <xdr:colOff>314325</xdr:colOff>
      <xdr:row>7</xdr:row>
      <xdr:rowOff>114300</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a:xfrm>
          <a:off x="10915650" y="1019175"/>
          <a:ext cx="1162050" cy="361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emf"/><Relationship Id="rId3" Type="http://schemas.openxmlformats.org/officeDocument/2006/relationships/vmlDrawing" Target="../drawings/vmlDrawing1.vml"/><Relationship Id="rId7" Type="http://schemas.openxmlformats.org/officeDocument/2006/relationships/image" Target="../media/image8.emf"/><Relationship Id="rId12"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9.emf"/><Relationship Id="rId1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oleObject" Target="../embeddings/oleObject7.bin"/><Relationship Id="rId5" Type="http://schemas.openxmlformats.org/officeDocument/2006/relationships/image" Target="../media/image8.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08"/>
  <sheetViews>
    <sheetView showGridLines="0" showRowColHeaders="0" workbookViewId="0">
      <selection activeCell="P18" sqref="P18"/>
    </sheetView>
  </sheetViews>
  <sheetFormatPr defaultRowHeight="14.25" x14ac:dyDescent="0.15"/>
  <cols>
    <col min="1" max="1" width="3.625" style="3" customWidth="1"/>
    <col min="2" max="2" width="3.25" style="3" customWidth="1"/>
    <col min="3" max="3" width="4" style="3" customWidth="1"/>
    <col min="4" max="4" width="4.25" style="3" customWidth="1"/>
    <col min="5" max="5" width="9" style="3"/>
    <col min="6" max="6" width="5.625" style="3" customWidth="1"/>
    <col min="7" max="9" width="9" style="3"/>
    <col min="10" max="10" width="5.125" style="3" customWidth="1"/>
    <col min="11" max="16384" width="9" style="3"/>
  </cols>
  <sheetData>
    <row r="1" spans="2:13" x14ac:dyDescent="0.15">
      <c r="B1" s="3" t="s">
        <v>736</v>
      </c>
    </row>
    <row r="2" spans="2:13" x14ac:dyDescent="0.15">
      <c r="B2" s="3">
        <v>1</v>
      </c>
      <c r="C2" s="3" t="s">
        <v>737</v>
      </c>
    </row>
    <row r="3" spans="2:13" ht="15" thickBot="1" x14ac:dyDescent="0.2">
      <c r="B3" s="3">
        <v>2</v>
      </c>
      <c r="C3" s="3" t="s">
        <v>738</v>
      </c>
    </row>
    <row r="4" spans="2:13" ht="15" thickBot="1" x14ac:dyDescent="0.2">
      <c r="B4" s="1170" t="s">
        <v>193</v>
      </c>
      <c r="C4" s="1171"/>
      <c r="D4" s="209"/>
      <c r="E4" s="209"/>
      <c r="F4" s="210" t="s">
        <v>655</v>
      </c>
      <c r="G4" s="210" t="s">
        <v>656</v>
      </c>
      <c r="H4" s="210"/>
      <c r="I4" s="210"/>
      <c r="J4" s="210"/>
      <c r="K4" s="210"/>
      <c r="L4" s="210"/>
      <c r="M4" s="210"/>
    </row>
    <row r="5" spans="2:13" ht="15" thickBot="1" x14ac:dyDescent="0.2">
      <c r="B5" s="1172" t="s">
        <v>192</v>
      </c>
      <c r="C5" s="1173"/>
      <c r="D5" s="1173"/>
      <c r="E5" s="1174"/>
      <c r="F5" s="167" t="s">
        <v>161</v>
      </c>
      <c r="G5" s="168" t="s">
        <v>739</v>
      </c>
      <c r="H5" s="169" t="s">
        <v>162</v>
      </c>
      <c r="I5" s="170">
        <v>1</v>
      </c>
      <c r="J5" s="171" t="s">
        <v>475</v>
      </c>
      <c r="K5" s="172" t="s">
        <v>419</v>
      </c>
      <c r="L5" s="173"/>
      <c r="M5" s="174"/>
    </row>
    <row r="6" spans="2:13" ht="15" customHeight="1" thickBot="1" x14ac:dyDescent="0.2">
      <c r="B6" s="1175"/>
      <c r="C6" s="1176"/>
      <c r="D6" s="1176"/>
      <c r="E6" s="1177"/>
      <c r="F6" s="1178" t="s">
        <v>653</v>
      </c>
      <c r="G6" s="1179"/>
      <c r="H6" s="1186" t="s">
        <v>615</v>
      </c>
      <c r="I6" s="1187"/>
      <c r="J6" s="1188" t="s">
        <v>207</v>
      </c>
      <c r="K6" s="1176"/>
      <c r="L6" s="339">
        <v>1</v>
      </c>
      <c r="M6" s="175" t="s">
        <v>208</v>
      </c>
    </row>
    <row r="7" spans="2:13" ht="14.25" customHeight="1" thickBot="1" x14ac:dyDescent="0.2">
      <c r="B7" s="1189" t="s">
        <v>167</v>
      </c>
      <c r="C7" s="1190"/>
      <c r="D7" s="1191" t="s">
        <v>807</v>
      </c>
      <c r="E7" s="1192" t="s">
        <v>190</v>
      </c>
      <c r="F7" s="1192"/>
      <c r="G7" s="1158" t="s">
        <v>239</v>
      </c>
      <c r="H7" s="1158" t="s">
        <v>240</v>
      </c>
      <c r="I7" s="1158" t="s">
        <v>196</v>
      </c>
      <c r="J7" s="1180" t="s">
        <v>15</v>
      </c>
      <c r="K7" s="1157" t="s">
        <v>783</v>
      </c>
      <c r="L7" s="1157"/>
      <c r="M7" s="1157"/>
    </row>
    <row r="8" spans="2:13" ht="15" thickBot="1" x14ac:dyDescent="0.2">
      <c r="B8" s="389"/>
      <c r="C8" s="326" t="s">
        <v>809</v>
      </c>
      <c r="D8" s="1191"/>
      <c r="E8" s="178" t="s">
        <v>184</v>
      </c>
      <c r="F8" s="179" t="s">
        <v>191</v>
      </c>
      <c r="G8" s="1159"/>
      <c r="H8" s="1159"/>
      <c r="I8" s="1159"/>
      <c r="J8" s="1181"/>
      <c r="K8" s="180" t="s">
        <v>781</v>
      </c>
      <c r="L8" s="180" t="s">
        <v>163</v>
      </c>
      <c r="M8" s="180" t="s">
        <v>782</v>
      </c>
    </row>
    <row r="9" spans="2:13" ht="15" thickBot="1" x14ac:dyDescent="0.2">
      <c r="B9" s="1161" t="s">
        <v>684</v>
      </c>
      <c r="C9" s="1162" t="s">
        <v>810</v>
      </c>
      <c r="D9" s="163">
        <v>1</v>
      </c>
      <c r="E9" s="1168">
        <v>4.5</v>
      </c>
      <c r="F9" s="1169">
        <v>0.89700000000000002</v>
      </c>
      <c r="G9" s="1182">
        <v>1.82</v>
      </c>
      <c r="H9" s="1182">
        <v>1.82</v>
      </c>
      <c r="I9" s="1182">
        <v>3.94</v>
      </c>
      <c r="J9" s="1184" t="s">
        <v>24</v>
      </c>
      <c r="K9" s="340">
        <v>120</v>
      </c>
      <c r="L9" s="195" t="s">
        <v>851</v>
      </c>
      <c r="M9" s="237">
        <v>240</v>
      </c>
    </row>
    <row r="10" spans="2:13" ht="15" thickBot="1" x14ac:dyDescent="0.2">
      <c r="B10" s="1161"/>
      <c r="C10" s="1163"/>
      <c r="D10" s="164">
        <v>2</v>
      </c>
      <c r="E10" s="1164"/>
      <c r="F10" s="1166"/>
      <c r="G10" s="1183"/>
      <c r="H10" s="1183"/>
      <c r="I10" s="1183"/>
      <c r="J10" s="1185"/>
      <c r="K10" s="1193" t="s">
        <v>852</v>
      </c>
      <c r="L10" s="1194"/>
      <c r="M10" s="239">
        <v>210</v>
      </c>
    </row>
    <row r="11" spans="2:13" ht="15" thickBot="1" x14ac:dyDescent="0.2">
      <c r="B11" s="1161"/>
      <c r="C11" s="1163" t="s">
        <v>811</v>
      </c>
      <c r="D11" s="165"/>
      <c r="E11" s="1164"/>
      <c r="F11" s="1165" t="s">
        <v>853</v>
      </c>
      <c r="G11" s="341" t="s">
        <v>856</v>
      </c>
      <c r="H11" s="341"/>
      <c r="I11" s="341"/>
      <c r="J11" s="342"/>
      <c r="K11" s="343"/>
      <c r="L11" s="196"/>
      <c r="M11" s="336"/>
    </row>
    <row r="12" spans="2:13" ht="15" thickBot="1" x14ac:dyDescent="0.2">
      <c r="B12" s="1161"/>
      <c r="C12" s="1163"/>
      <c r="D12" s="164"/>
      <c r="E12" s="1164"/>
      <c r="F12" s="1166"/>
      <c r="G12" s="382"/>
      <c r="H12" s="382"/>
      <c r="I12" s="382" t="s">
        <v>857</v>
      </c>
      <c r="J12" s="344"/>
      <c r="K12" s="383"/>
      <c r="L12" s="384"/>
      <c r="M12" s="337"/>
    </row>
    <row r="13" spans="2:13" ht="15" thickBot="1" x14ac:dyDescent="0.2">
      <c r="B13" s="1161"/>
      <c r="C13" s="1163" t="s">
        <v>812</v>
      </c>
      <c r="D13" s="165"/>
      <c r="E13" s="345"/>
      <c r="F13" s="335" t="s">
        <v>853</v>
      </c>
      <c r="G13" s="341"/>
      <c r="H13" s="341"/>
      <c r="I13" s="341"/>
      <c r="J13" s="1160"/>
      <c r="K13" s="343"/>
      <c r="L13" s="196"/>
      <c r="M13" s="336"/>
    </row>
    <row r="14" spans="2:13" ht="15" thickBot="1" x14ac:dyDescent="0.2">
      <c r="B14" s="1161"/>
      <c r="C14" s="1163"/>
      <c r="D14" s="164"/>
      <c r="E14" s="346" t="s">
        <v>855</v>
      </c>
      <c r="F14" s="387"/>
      <c r="G14" s="382"/>
      <c r="H14" s="382"/>
      <c r="I14" s="382"/>
      <c r="J14" s="1160"/>
      <c r="K14" s="383"/>
      <c r="L14" s="384"/>
      <c r="M14" s="337"/>
    </row>
    <row r="15" spans="2:13" ht="15" thickBot="1" x14ac:dyDescent="0.2">
      <c r="B15" s="1161"/>
      <c r="C15" s="1163" t="s">
        <v>813</v>
      </c>
      <c r="D15" s="165"/>
      <c r="E15" s="1164"/>
      <c r="F15" s="1165" t="s">
        <v>853</v>
      </c>
      <c r="G15" s="1182"/>
      <c r="H15" s="1182"/>
      <c r="I15" s="1182"/>
      <c r="J15" s="1160"/>
      <c r="K15" s="343"/>
      <c r="L15" s="196"/>
      <c r="M15" s="336"/>
    </row>
    <row r="16" spans="2:13" ht="15" thickBot="1" x14ac:dyDescent="0.2">
      <c r="B16" s="1161"/>
      <c r="C16" s="1163"/>
      <c r="D16" s="164"/>
      <c r="E16" s="1164"/>
      <c r="F16" s="1166"/>
      <c r="G16" s="1183"/>
      <c r="H16" s="1183"/>
      <c r="I16" s="1183"/>
      <c r="J16" s="1160"/>
      <c r="K16" s="383"/>
      <c r="L16" s="384"/>
      <c r="M16" s="337"/>
    </row>
    <row r="17" spans="2:13" ht="15" thickBot="1" x14ac:dyDescent="0.2">
      <c r="B17" s="1161"/>
      <c r="C17" s="1163" t="s">
        <v>814</v>
      </c>
      <c r="D17" s="165"/>
      <c r="E17" s="1164"/>
      <c r="F17" s="1165" t="s">
        <v>853</v>
      </c>
      <c r="G17" s="1182"/>
      <c r="H17" s="1182"/>
      <c r="I17" s="1182"/>
      <c r="J17" s="1160"/>
      <c r="K17" s="343"/>
      <c r="L17" s="196"/>
      <c r="M17" s="336"/>
    </row>
    <row r="18" spans="2:13" ht="15" thickBot="1" x14ac:dyDescent="0.2">
      <c r="B18" s="1161"/>
      <c r="C18" s="1163"/>
      <c r="D18" s="164"/>
      <c r="E18" s="1164"/>
      <c r="F18" s="1166"/>
      <c r="G18" s="1183"/>
      <c r="H18" s="1183"/>
      <c r="I18" s="1183"/>
      <c r="J18" s="1160"/>
      <c r="K18" s="383"/>
      <c r="L18" s="384"/>
      <c r="M18" s="337"/>
    </row>
    <row r="19" spans="2:13" ht="15" thickBot="1" x14ac:dyDescent="0.2">
      <c r="B19" s="1161"/>
      <c r="C19" s="1163" t="s">
        <v>815</v>
      </c>
      <c r="D19" s="165"/>
      <c r="E19" s="1164"/>
      <c r="F19" s="1165" t="s">
        <v>853</v>
      </c>
      <c r="G19" s="1182"/>
      <c r="H19" s="1182"/>
      <c r="I19" s="1182"/>
      <c r="J19" s="1160"/>
      <c r="K19" s="343"/>
      <c r="L19" s="196"/>
      <c r="M19" s="336"/>
    </row>
    <row r="20" spans="2:13" ht="15" thickBot="1" x14ac:dyDescent="0.2">
      <c r="B20" s="1161"/>
      <c r="C20" s="1167"/>
      <c r="D20" s="166"/>
      <c r="E20" s="1223"/>
      <c r="F20" s="1224"/>
      <c r="G20" s="1183"/>
      <c r="H20" s="1183"/>
      <c r="I20" s="1183"/>
      <c r="J20" s="1195"/>
      <c r="K20" s="1201"/>
      <c r="L20" s="1202"/>
      <c r="M20" s="243"/>
    </row>
    <row r="21" spans="2:13" x14ac:dyDescent="0.15">
      <c r="B21" s="11"/>
      <c r="C21" s="11"/>
      <c r="D21" s="347"/>
      <c r="E21" s="11"/>
      <c r="F21" s="348"/>
      <c r="G21" s="348"/>
      <c r="H21" s="348"/>
      <c r="I21" s="11"/>
      <c r="J21" s="20"/>
      <c r="K21" s="20"/>
      <c r="L21" s="9"/>
      <c r="M21" s="23"/>
    </row>
    <row r="22" spans="2:13" x14ac:dyDescent="0.15">
      <c r="B22" s="3">
        <v>3</v>
      </c>
      <c r="C22" s="3" t="s">
        <v>740</v>
      </c>
    </row>
    <row r="23" spans="2:13" x14ac:dyDescent="0.15">
      <c r="C23" s="3" t="s">
        <v>741</v>
      </c>
    </row>
    <row r="24" spans="2:13" x14ac:dyDescent="0.15">
      <c r="B24" s="3">
        <v>4</v>
      </c>
      <c r="C24" s="2" t="s">
        <v>742</v>
      </c>
    </row>
    <row r="25" spans="2:13" x14ac:dyDescent="0.15">
      <c r="B25" s="3">
        <v>5</v>
      </c>
      <c r="C25" s="9" t="s">
        <v>854</v>
      </c>
    </row>
    <row r="26" spans="2:13" x14ac:dyDescent="0.15">
      <c r="B26" s="3">
        <v>5</v>
      </c>
      <c r="C26" s="9" t="s">
        <v>743</v>
      </c>
    </row>
    <row r="27" spans="2:13" x14ac:dyDescent="0.15">
      <c r="B27" s="3">
        <v>6</v>
      </c>
      <c r="C27" s="9" t="s">
        <v>744</v>
      </c>
    </row>
    <row r="28" spans="2:13" x14ac:dyDescent="0.15">
      <c r="B28" s="3">
        <v>7</v>
      </c>
      <c r="C28" s="9" t="s">
        <v>745</v>
      </c>
    </row>
    <row r="29" spans="2:13" x14ac:dyDescent="0.15">
      <c r="B29" s="3">
        <v>8</v>
      </c>
      <c r="C29" s="9" t="s">
        <v>746</v>
      </c>
    </row>
    <row r="30" spans="2:13" x14ac:dyDescent="0.15">
      <c r="C30" s="9" t="s">
        <v>747</v>
      </c>
    </row>
    <row r="31" spans="2:13" x14ac:dyDescent="0.15">
      <c r="C31" s="9" t="s">
        <v>748</v>
      </c>
    </row>
    <row r="32" spans="2:13" x14ac:dyDescent="0.15">
      <c r="C32" s="9"/>
      <c r="F32" s="2" t="s">
        <v>749</v>
      </c>
      <c r="G32" s="2"/>
    </row>
    <row r="33" spans="2:13" x14ac:dyDescent="0.15">
      <c r="C33" s="9"/>
      <c r="E33" s="2"/>
      <c r="F33" s="2"/>
      <c r="G33" s="2"/>
    </row>
    <row r="34" spans="2:13" x14ac:dyDescent="0.15">
      <c r="C34" s="9"/>
      <c r="E34" s="2"/>
      <c r="F34" s="2"/>
    </row>
    <row r="35" spans="2:13" x14ac:dyDescent="0.15">
      <c r="C35" s="9"/>
      <c r="D35" s="2"/>
      <c r="E35" s="2"/>
      <c r="K35" s="349"/>
    </row>
    <row r="36" spans="2:13" x14ac:dyDescent="0.15">
      <c r="C36" s="9"/>
      <c r="D36" s="2"/>
      <c r="E36" s="9"/>
      <c r="G36" s="3" t="s">
        <v>750</v>
      </c>
    </row>
    <row r="37" spans="2:13" x14ac:dyDescent="0.15">
      <c r="C37" s="9"/>
      <c r="D37" s="2"/>
      <c r="E37" s="9"/>
      <c r="F37" s="2"/>
    </row>
    <row r="38" spans="2:13" x14ac:dyDescent="0.15">
      <c r="C38" s="9"/>
      <c r="D38" s="2"/>
      <c r="F38" s="3" t="s">
        <v>751</v>
      </c>
    </row>
    <row r="39" spans="2:13" x14ac:dyDescent="0.15">
      <c r="C39" s="9"/>
      <c r="H39" s="3" t="s">
        <v>864</v>
      </c>
    </row>
    <row r="40" spans="2:13" ht="15" thickBot="1" x14ac:dyDescent="0.2">
      <c r="C40" s="9"/>
      <c r="I40" s="3" t="s">
        <v>754</v>
      </c>
    </row>
    <row r="41" spans="2:13" ht="15" thickBot="1" x14ac:dyDescent="0.2">
      <c r="B41" s="1212" t="s">
        <v>771</v>
      </c>
      <c r="C41" s="1213"/>
      <c r="D41" s="1214"/>
      <c r="E41" s="1221" t="s">
        <v>121</v>
      </c>
      <c r="F41" s="1222"/>
      <c r="G41" s="176"/>
      <c r="H41" s="177"/>
      <c r="I41" s="177"/>
      <c r="J41" s="176"/>
      <c r="K41" s="176"/>
      <c r="L41" s="176"/>
      <c r="M41" s="176"/>
    </row>
    <row r="42" spans="2:13" x14ac:dyDescent="0.15">
      <c r="B42" s="1215" t="s">
        <v>165</v>
      </c>
      <c r="C42" s="1216"/>
      <c r="D42" s="1214"/>
      <c r="E42" s="1197" t="s">
        <v>243</v>
      </c>
      <c r="F42" s="1198"/>
      <c r="G42" s="1198"/>
      <c r="H42" s="1199"/>
      <c r="I42" s="1200" t="s">
        <v>423</v>
      </c>
      <c r="J42" s="1196" t="s">
        <v>241</v>
      </c>
      <c r="K42" s="1197" t="s">
        <v>199</v>
      </c>
      <c r="L42" s="1198"/>
      <c r="M42" s="1199"/>
    </row>
    <row r="43" spans="2:13" x14ac:dyDescent="0.15">
      <c r="B43" s="1217" t="s">
        <v>188</v>
      </c>
      <c r="C43" s="1218"/>
      <c r="D43" s="1207" t="s">
        <v>242</v>
      </c>
      <c r="E43" s="386" t="s">
        <v>465</v>
      </c>
      <c r="F43" s="1209" t="s">
        <v>418</v>
      </c>
      <c r="G43" s="1210"/>
      <c r="H43" s="1211"/>
      <c r="I43" s="1180"/>
      <c r="J43" s="1158"/>
      <c r="K43" s="386" t="s">
        <v>188</v>
      </c>
      <c r="L43" s="386" t="s">
        <v>189</v>
      </c>
      <c r="M43" s="386" t="s">
        <v>242</v>
      </c>
    </row>
    <row r="44" spans="2:13" ht="15" thickBot="1" x14ac:dyDescent="0.2">
      <c r="B44" s="1219"/>
      <c r="C44" s="1220"/>
      <c r="D44" s="1208"/>
      <c r="E44" s="180" t="s">
        <v>784</v>
      </c>
      <c r="F44" s="381" t="s">
        <v>480</v>
      </c>
      <c r="G44" s="381" t="s">
        <v>481</v>
      </c>
      <c r="H44" s="381" t="s">
        <v>482</v>
      </c>
      <c r="I44" s="381" t="s">
        <v>654</v>
      </c>
      <c r="J44" s="1159"/>
      <c r="K44" s="179" t="s">
        <v>194</v>
      </c>
      <c r="L44" s="179" t="s">
        <v>195</v>
      </c>
      <c r="M44" s="179" t="s">
        <v>485</v>
      </c>
    </row>
    <row r="45" spans="2:13" x14ac:dyDescent="0.15">
      <c r="B45" s="1203" t="s">
        <v>752</v>
      </c>
      <c r="C45" s="1204"/>
      <c r="D45" s="238" t="s">
        <v>752</v>
      </c>
      <c r="E45" s="350" t="s">
        <v>858</v>
      </c>
      <c r="F45" s="351">
        <v>10</v>
      </c>
      <c r="G45" s="198">
        <v>22.39</v>
      </c>
      <c r="H45" s="198">
        <v>174.07</v>
      </c>
      <c r="I45" s="199">
        <v>173.98</v>
      </c>
      <c r="J45" s="352"/>
      <c r="K45" s="199">
        <v>0.68</v>
      </c>
      <c r="L45" s="199">
        <v>0.67</v>
      </c>
      <c r="M45" s="199">
        <v>0.87</v>
      </c>
    </row>
    <row r="46" spans="2:13" x14ac:dyDescent="0.15">
      <c r="B46" s="1205" t="s">
        <v>752</v>
      </c>
      <c r="C46" s="1206"/>
      <c r="D46" s="240" t="s">
        <v>752</v>
      </c>
      <c r="E46" s="353" t="s">
        <v>859</v>
      </c>
      <c r="F46" s="354">
        <v>10</v>
      </c>
      <c r="G46" s="205">
        <v>20.440000000000001</v>
      </c>
      <c r="H46" s="205">
        <v>154.74</v>
      </c>
      <c r="I46" s="206">
        <v>154.65</v>
      </c>
      <c r="J46" s="355"/>
      <c r="K46" s="206">
        <v>0.61</v>
      </c>
      <c r="L46" s="206">
        <v>0.68</v>
      </c>
      <c r="M46" s="206">
        <v>0.87</v>
      </c>
    </row>
    <row r="47" spans="2:13" x14ac:dyDescent="0.15">
      <c r="B47" s="1203"/>
      <c r="C47" s="1204"/>
      <c r="D47" s="242"/>
      <c r="E47" s="356" t="s">
        <v>860</v>
      </c>
      <c r="F47" s="357"/>
      <c r="G47" s="200"/>
      <c r="H47" s="200"/>
      <c r="I47" s="201"/>
      <c r="J47" s="358"/>
      <c r="K47" s="201" t="s">
        <v>853</v>
      </c>
      <c r="L47" s="201" t="s">
        <v>853</v>
      </c>
      <c r="M47" s="201" t="s">
        <v>853</v>
      </c>
    </row>
    <row r="48" spans="2:13" x14ac:dyDescent="0.15">
      <c r="B48" s="1205"/>
      <c r="C48" s="1206"/>
      <c r="D48" s="240"/>
      <c r="E48" s="353" t="s">
        <v>861</v>
      </c>
      <c r="F48" s="354"/>
      <c r="G48" s="205"/>
      <c r="H48" s="205"/>
      <c r="I48" s="206"/>
      <c r="J48" s="355"/>
      <c r="K48" s="206" t="s">
        <v>853</v>
      </c>
      <c r="L48" s="206" t="s">
        <v>853</v>
      </c>
      <c r="M48" s="206" t="s">
        <v>853</v>
      </c>
    </row>
    <row r="49" spans="2:13" x14ac:dyDescent="0.15">
      <c r="B49" s="1203"/>
      <c r="C49" s="1204"/>
      <c r="D49" s="242"/>
      <c r="E49" s="356" t="s">
        <v>862</v>
      </c>
      <c r="F49" s="357"/>
      <c r="G49" s="200"/>
      <c r="H49" s="200"/>
      <c r="I49" s="201"/>
      <c r="J49" s="358"/>
      <c r="K49" s="201" t="s">
        <v>853</v>
      </c>
      <c r="L49" s="201" t="s">
        <v>853</v>
      </c>
      <c r="M49" s="201" t="s">
        <v>853</v>
      </c>
    </row>
    <row r="50" spans="2:13" x14ac:dyDescent="0.15">
      <c r="B50" s="1205"/>
      <c r="C50" s="1206"/>
      <c r="D50" s="240"/>
      <c r="E50" s="353" t="s">
        <v>863</v>
      </c>
      <c r="F50" s="354"/>
      <c r="G50" s="205"/>
      <c r="H50" s="205"/>
      <c r="I50" s="206"/>
      <c r="J50" s="355"/>
      <c r="K50" s="206" t="s">
        <v>853</v>
      </c>
      <c r="L50" s="206" t="s">
        <v>853</v>
      </c>
      <c r="M50" s="206" t="s">
        <v>853</v>
      </c>
    </row>
    <row r="51" spans="2:13" x14ac:dyDescent="0.15">
      <c r="B51" s="1203"/>
      <c r="C51" s="1204"/>
      <c r="D51" s="242"/>
      <c r="E51" s="356"/>
      <c r="F51" s="357"/>
      <c r="G51" s="200"/>
      <c r="H51" s="200"/>
      <c r="I51" s="201"/>
      <c r="J51" s="358"/>
      <c r="K51" s="201" t="s">
        <v>853</v>
      </c>
      <c r="L51" s="201" t="s">
        <v>853</v>
      </c>
      <c r="M51" s="201" t="s">
        <v>853</v>
      </c>
    </row>
    <row r="52" spans="2:13" x14ac:dyDescent="0.15">
      <c r="B52" s="1205"/>
      <c r="C52" s="1206"/>
      <c r="D52" s="240"/>
      <c r="E52" s="353"/>
      <c r="F52" s="354"/>
      <c r="G52" s="205"/>
      <c r="H52" s="205"/>
      <c r="I52" s="206"/>
      <c r="J52" s="355"/>
      <c r="K52" s="206" t="s">
        <v>853</v>
      </c>
      <c r="L52" s="206" t="s">
        <v>853</v>
      </c>
      <c r="M52" s="206" t="s">
        <v>853</v>
      </c>
    </row>
    <row r="53" spans="2:13" x14ac:dyDescent="0.15">
      <c r="B53" s="1203"/>
      <c r="C53" s="1204"/>
      <c r="D53" s="242"/>
      <c r="E53" s="356"/>
      <c r="F53" s="357"/>
      <c r="G53" s="200"/>
      <c r="H53" s="200"/>
      <c r="I53" s="201"/>
      <c r="J53" s="358"/>
      <c r="K53" s="201" t="s">
        <v>853</v>
      </c>
      <c r="L53" s="201" t="s">
        <v>853</v>
      </c>
      <c r="M53" s="201" t="s">
        <v>853</v>
      </c>
    </row>
    <row r="54" spans="2:13" x14ac:dyDescent="0.15">
      <c r="B54" s="1205"/>
      <c r="C54" s="1206"/>
      <c r="D54" s="240"/>
      <c r="E54" s="353"/>
      <c r="F54" s="354"/>
      <c r="G54" s="205"/>
      <c r="H54" s="205"/>
      <c r="I54" s="206"/>
      <c r="J54" s="355"/>
      <c r="K54" s="206" t="s">
        <v>853</v>
      </c>
      <c r="L54" s="206" t="s">
        <v>853</v>
      </c>
      <c r="M54" s="206" t="s">
        <v>853</v>
      </c>
    </row>
    <row r="55" spans="2:13" x14ac:dyDescent="0.15">
      <c r="B55" s="1225"/>
      <c r="C55" s="1226"/>
      <c r="D55" s="385"/>
      <c r="E55" s="385"/>
      <c r="F55" s="359"/>
      <c r="G55" s="94"/>
      <c r="H55" s="94"/>
      <c r="I55" s="338"/>
      <c r="J55" s="360"/>
      <c r="K55" s="338" t="s">
        <v>853</v>
      </c>
      <c r="L55" s="338" t="s">
        <v>853</v>
      </c>
      <c r="M55" s="338" t="s">
        <v>853</v>
      </c>
    </row>
    <row r="56" spans="2:13" x14ac:dyDescent="0.15">
      <c r="B56" s="3">
        <v>10</v>
      </c>
      <c r="C56" s="3" t="s">
        <v>753</v>
      </c>
      <c r="I56" s="3" t="s">
        <v>754</v>
      </c>
    </row>
    <row r="57" spans="2:13" x14ac:dyDescent="0.15">
      <c r="F57" s="3" t="s">
        <v>755</v>
      </c>
    </row>
    <row r="64" spans="2:13" ht="15" thickBot="1" x14ac:dyDescent="0.2"/>
    <row r="65" spans="1:14" x14ac:dyDescent="0.15">
      <c r="B65" s="1227" t="s">
        <v>200</v>
      </c>
      <c r="C65" s="1228"/>
      <c r="D65" s="1229"/>
      <c r="E65" s="1230" t="s">
        <v>709</v>
      </c>
      <c r="F65" s="1231"/>
      <c r="G65" s="1231"/>
      <c r="H65" s="1231"/>
      <c r="I65" s="1231"/>
      <c r="J65" s="1232"/>
      <c r="K65" s="1233"/>
      <c r="L65" s="1234" t="s">
        <v>166</v>
      </c>
      <c r="M65" s="1174"/>
    </row>
    <row r="66" spans="1:14" x14ac:dyDescent="0.15">
      <c r="B66" s="386" t="s">
        <v>188</v>
      </c>
      <c r="C66" s="386" t="s">
        <v>189</v>
      </c>
      <c r="D66" s="386" t="s">
        <v>242</v>
      </c>
      <c r="E66" s="1237">
        <v>1</v>
      </c>
      <c r="F66" s="1238"/>
      <c r="G66" s="1237">
        <v>2</v>
      </c>
      <c r="H66" s="1238"/>
      <c r="I66" s="1239" t="s">
        <v>486</v>
      </c>
      <c r="J66" s="1241" t="s">
        <v>710</v>
      </c>
      <c r="K66" s="1242" t="s">
        <v>165</v>
      </c>
      <c r="L66" s="1235"/>
      <c r="M66" s="1236"/>
    </row>
    <row r="67" spans="1:14" ht="29.25" thickBot="1" x14ac:dyDescent="0.2">
      <c r="B67" s="179" t="s">
        <v>194</v>
      </c>
      <c r="C67" s="179" t="s">
        <v>195</v>
      </c>
      <c r="D67" s="179" t="s">
        <v>485</v>
      </c>
      <c r="E67" s="388" t="s">
        <v>756</v>
      </c>
      <c r="F67" s="388" t="s">
        <v>757</v>
      </c>
      <c r="G67" s="388" t="s">
        <v>758</v>
      </c>
      <c r="H67" s="388" t="s">
        <v>759</v>
      </c>
      <c r="I67" s="1240"/>
      <c r="J67" s="1240"/>
      <c r="K67" s="1243"/>
      <c r="L67" s="1175"/>
      <c r="M67" s="1177"/>
    </row>
    <row r="68" spans="1:14" x14ac:dyDescent="0.15">
      <c r="B68" s="199"/>
      <c r="C68" s="199"/>
      <c r="D68" s="199"/>
      <c r="E68" s="361">
        <v>4.5</v>
      </c>
      <c r="F68" s="362">
        <v>10</v>
      </c>
      <c r="G68" s="363">
        <v>4.5</v>
      </c>
      <c r="H68" s="364">
        <v>5</v>
      </c>
      <c r="I68" s="198">
        <v>67.5</v>
      </c>
      <c r="J68" s="198">
        <v>0.69</v>
      </c>
      <c r="K68" s="247" t="s">
        <v>752</v>
      </c>
      <c r="L68" s="182" t="s">
        <v>770</v>
      </c>
      <c r="M68" s="183">
        <v>200</v>
      </c>
    </row>
    <row r="69" spans="1:14" x14ac:dyDescent="0.15">
      <c r="B69" s="206"/>
      <c r="C69" s="206"/>
      <c r="D69" s="206"/>
      <c r="E69" s="365"/>
      <c r="F69" s="366"/>
      <c r="G69" s="367"/>
      <c r="H69" s="368"/>
      <c r="I69" s="205">
        <v>0</v>
      </c>
      <c r="J69" s="205" t="s">
        <v>853</v>
      </c>
      <c r="K69" s="248" t="s">
        <v>853</v>
      </c>
      <c r="L69" s="184" t="s">
        <v>770</v>
      </c>
      <c r="M69" s="185">
        <v>200</v>
      </c>
    </row>
    <row r="70" spans="1:14" x14ac:dyDescent="0.15">
      <c r="B70" s="201" t="s">
        <v>853</v>
      </c>
      <c r="C70" s="201" t="s">
        <v>853</v>
      </c>
      <c r="D70" s="201" t="s">
        <v>853</v>
      </c>
      <c r="E70" s="369"/>
      <c r="F70" s="370"/>
      <c r="G70" s="371"/>
      <c r="H70" s="372"/>
      <c r="I70" s="200">
        <v>0</v>
      </c>
      <c r="J70" s="200" t="s">
        <v>853</v>
      </c>
      <c r="K70" s="249" t="s">
        <v>853</v>
      </c>
      <c r="L70" s="186" t="s">
        <v>770</v>
      </c>
      <c r="M70" s="187">
        <v>200</v>
      </c>
    </row>
    <row r="71" spans="1:14" x14ac:dyDescent="0.15">
      <c r="B71" s="206" t="s">
        <v>853</v>
      </c>
      <c r="C71" s="206" t="s">
        <v>853</v>
      </c>
      <c r="D71" s="206" t="s">
        <v>853</v>
      </c>
      <c r="E71" s="365"/>
      <c r="F71" s="366"/>
      <c r="G71" s="367"/>
      <c r="H71" s="368"/>
      <c r="I71" s="205">
        <v>0</v>
      </c>
      <c r="J71" s="205" t="s">
        <v>853</v>
      </c>
      <c r="K71" s="248" t="s">
        <v>853</v>
      </c>
      <c r="L71" s="184" t="s">
        <v>770</v>
      </c>
      <c r="M71" s="185">
        <v>200</v>
      </c>
    </row>
    <row r="72" spans="1:14" x14ac:dyDescent="0.15">
      <c r="B72" s="201" t="s">
        <v>853</v>
      </c>
      <c r="C72" s="201" t="s">
        <v>853</v>
      </c>
      <c r="D72" s="201" t="s">
        <v>853</v>
      </c>
      <c r="E72" s="369"/>
      <c r="F72" s="370"/>
      <c r="G72" s="371"/>
      <c r="H72" s="372"/>
      <c r="I72" s="200">
        <v>0</v>
      </c>
      <c r="J72" s="200" t="s">
        <v>853</v>
      </c>
      <c r="K72" s="249" t="s">
        <v>853</v>
      </c>
      <c r="L72" s="186" t="s">
        <v>770</v>
      </c>
      <c r="M72" s="187">
        <v>200</v>
      </c>
    </row>
    <row r="73" spans="1:14" x14ac:dyDescent="0.15">
      <c r="B73" s="206" t="s">
        <v>853</v>
      </c>
      <c r="C73" s="206" t="s">
        <v>853</v>
      </c>
      <c r="D73" s="206" t="s">
        <v>853</v>
      </c>
      <c r="E73" s="365"/>
      <c r="F73" s="366"/>
      <c r="G73" s="367"/>
      <c r="H73" s="368"/>
      <c r="I73" s="205">
        <v>0</v>
      </c>
      <c r="J73" s="205" t="s">
        <v>853</v>
      </c>
      <c r="K73" s="248" t="s">
        <v>853</v>
      </c>
      <c r="L73" s="184" t="s">
        <v>770</v>
      </c>
      <c r="M73" s="185">
        <v>200</v>
      </c>
    </row>
    <row r="74" spans="1:14" x14ac:dyDescent="0.15">
      <c r="B74" s="201" t="s">
        <v>853</v>
      </c>
      <c r="C74" s="201" t="s">
        <v>853</v>
      </c>
      <c r="D74" s="201" t="s">
        <v>853</v>
      </c>
      <c r="E74" s="369"/>
      <c r="F74" s="370"/>
      <c r="G74" s="371"/>
      <c r="H74" s="372"/>
      <c r="I74" s="200">
        <v>0</v>
      </c>
      <c r="J74" s="200" t="s">
        <v>853</v>
      </c>
      <c r="K74" s="249" t="s">
        <v>853</v>
      </c>
      <c r="L74" s="186" t="s">
        <v>770</v>
      </c>
      <c r="M74" s="187">
        <v>200</v>
      </c>
    </row>
    <row r="75" spans="1:14" x14ac:dyDescent="0.15">
      <c r="B75" s="206" t="s">
        <v>853</v>
      </c>
      <c r="C75" s="206" t="s">
        <v>853</v>
      </c>
      <c r="D75" s="206" t="s">
        <v>853</v>
      </c>
      <c r="E75" s="365"/>
      <c r="F75" s="366"/>
      <c r="G75" s="367"/>
      <c r="H75" s="368"/>
      <c r="I75" s="205">
        <v>0</v>
      </c>
      <c r="J75" s="205" t="s">
        <v>853</v>
      </c>
      <c r="K75" s="248" t="s">
        <v>853</v>
      </c>
      <c r="L75" s="184" t="s">
        <v>770</v>
      </c>
      <c r="M75" s="185">
        <v>200</v>
      </c>
    </row>
    <row r="76" spans="1:14" x14ac:dyDescent="0.15">
      <c r="B76" s="201" t="s">
        <v>853</v>
      </c>
      <c r="C76" s="201" t="s">
        <v>853</v>
      </c>
      <c r="D76" s="201" t="s">
        <v>853</v>
      </c>
      <c r="E76" s="369"/>
      <c r="F76" s="370"/>
      <c r="G76" s="371"/>
      <c r="H76" s="372"/>
      <c r="I76" s="200">
        <v>0</v>
      </c>
      <c r="J76" s="200" t="s">
        <v>853</v>
      </c>
      <c r="K76" s="249" t="s">
        <v>853</v>
      </c>
      <c r="L76" s="186" t="s">
        <v>770</v>
      </c>
      <c r="M76" s="187">
        <v>200</v>
      </c>
    </row>
    <row r="77" spans="1:14" x14ac:dyDescent="0.15">
      <c r="B77" s="206" t="s">
        <v>853</v>
      </c>
      <c r="C77" s="206" t="s">
        <v>853</v>
      </c>
      <c r="D77" s="206" t="s">
        <v>853</v>
      </c>
      <c r="E77" s="365"/>
      <c r="F77" s="366"/>
      <c r="G77" s="367"/>
      <c r="H77" s="368"/>
      <c r="I77" s="205">
        <v>0</v>
      </c>
      <c r="J77" s="205" t="s">
        <v>853</v>
      </c>
      <c r="K77" s="248" t="s">
        <v>853</v>
      </c>
      <c r="L77" s="184" t="s">
        <v>770</v>
      </c>
      <c r="M77" s="185">
        <v>200</v>
      </c>
    </row>
    <row r="78" spans="1:14" x14ac:dyDescent="0.15">
      <c r="B78" s="201" t="s">
        <v>853</v>
      </c>
      <c r="C78" s="201" t="s">
        <v>853</v>
      </c>
      <c r="D78" s="201" t="s">
        <v>853</v>
      </c>
      <c r="E78" s="369"/>
      <c r="F78" s="370"/>
      <c r="G78" s="371"/>
      <c r="H78" s="372"/>
      <c r="I78" s="200">
        <v>0</v>
      </c>
      <c r="J78" s="200" t="s">
        <v>853</v>
      </c>
      <c r="K78" s="249" t="s">
        <v>853</v>
      </c>
      <c r="L78" s="186" t="s">
        <v>770</v>
      </c>
      <c r="M78" s="188">
        <v>200</v>
      </c>
    </row>
    <row r="79" spans="1:14" ht="15" thickBot="1" x14ac:dyDescent="0.2">
      <c r="B79" s="208" t="s">
        <v>853</v>
      </c>
      <c r="C79" s="208" t="s">
        <v>853</v>
      </c>
      <c r="D79" s="208" t="s">
        <v>853</v>
      </c>
      <c r="E79" s="373"/>
      <c r="F79" s="374"/>
      <c r="G79" s="375"/>
      <c r="H79" s="376"/>
      <c r="I79" s="207">
        <v>0</v>
      </c>
      <c r="J79" s="207" t="s">
        <v>853</v>
      </c>
      <c r="K79" s="204" t="s">
        <v>853</v>
      </c>
      <c r="L79" s="189" t="s">
        <v>770</v>
      </c>
      <c r="M79" s="190">
        <v>200</v>
      </c>
    </row>
    <row r="80" spans="1:14" x14ac:dyDescent="0.15">
      <c r="A80" s="23"/>
      <c r="B80" s="91"/>
      <c r="C80" s="91"/>
      <c r="D80" s="91"/>
      <c r="E80" s="91"/>
      <c r="F80" s="91"/>
      <c r="G80" s="91"/>
      <c r="H80" s="91"/>
      <c r="I80" s="91"/>
      <c r="J80" s="23"/>
      <c r="K80" s="23"/>
      <c r="L80" s="23"/>
      <c r="M80" s="23"/>
      <c r="N80" s="23"/>
    </row>
    <row r="81" spans="2:3" x14ac:dyDescent="0.15">
      <c r="B81" s="3">
        <v>11</v>
      </c>
      <c r="C81" s="3" t="s">
        <v>760</v>
      </c>
    </row>
    <row r="82" spans="2:3" x14ac:dyDescent="0.15">
      <c r="C82" s="3" t="s">
        <v>761</v>
      </c>
    </row>
    <row r="83" spans="2:3" x14ac:dyDescent="0.15">
      <c r="C83" s="3" t="s">
        <v>769</v>
      </c>
    </row>
    <row r="95" spans="2:3" x14ac:dyDescent="0.15">
      <c r="B95" s="3">
        <v>12</v>
      </c>
      <c r="C95" s="3" t="s">
        <v>762</v>
      </c>
    </row>
    <row r="96" spans="2:3" x14ac:dyDescent="0.15">
      <c r="B96" s="3">
        <v>13</v>
      </c>
      <c r="C96" s="3" t="s">
        <v>763</v>
      </c>
    </row>
    <row r="97" spans="2:3" x14ac:dyDescent="0.15">
      <c r="C97" s="3" t="s">
        <v>764</v>
      </c>
    </row>
    <row r="98" spans="2:3" x14ac:dyDescent="0.15">
      <c r="B98" s="3">
        <v>14</v>
      </c>
      <c r="C98" s="3" t="s">
        <v>765</v>
      </c>
    </row>
    <row r="99" spans="2:3" x14ac:dyDescent="0.15">
      <c r="C99" s="3" t="s">
        <v>766</v>
      </c>
    </row>
    <row r="100" spans="2:3" x14ac:dyDescent="0.15">
      <c r="B100" s="3">
        <v>15</v>
      </c>
      <c r="C100" s="3" t="s">
        <v>788</v>
      </c>
    </row>
    <row r="101" spans="2:3" x14ac:dyDescent="0.15">
      <c r="C101" s="3" t="s">
        <v>789</v>
      </c>
    </row>
    <row r="102" spans="2:3" x14ac:dyDescent="0.15">
      <c r="B102" s="377" t="s">
        <v>773</v>
      </c>
      <c r="C102" s="3" t="s">
        <v>774</v>
      </c>
    </row>
    <row r="103" spans="2:3" x14ac:dyDescent="0.15">
      <c r="C103" s="3" t="s">
        <v>775</v>
      </c>
    </row>
    <row r="104" spans="2:3" x14ac:dyDescent="0.15">
      <c r="B104" s="377" t="s">
        <v>773</v>
      </c>
      <c r="C104" s="3" t="s">
        <v>776</v>
      </c>
    </row>
    <row r="105" spans="2:3" x14ac:dyDescent="0.15">
      <c r="C105" s="3" t="s">
        <v>777</v>
      </c>
    </row>
    <row r="144" hidden="1" x14ac:dyDescent="0.15"/>
    <row r="145" spans="5:5" hidden="1" x14ac:dyDescent="0.15">
      <c r="E145" s="3" t="s">
        <v>610</v>
      </c>
    </row>
    <row r="146" spans="5:5" hidden="1" x14ac:dyDescent="0.15">
      <c r="E146" s="3" t="s">
        <v>611</v>
      </c>
    </row>
    <row r="147" spans="5:5" hidden="1" x14ac:dyDescent="0.15">
      <c r="E147" s="3" t="s">
        <v>612</v>
      </c>
    </row>
    <row r="148" spans="5:5" hidden="1" x14ac:dyDescent="0.15">
      <c r="E148" s="3" t="s">
        <v>613</v>
      </c>
    </row>
    <row r="149" spans="5:5" hidden="1" x14ac:dyDescent="0.15">
      <c r="E149" s="3" t="s">
        <v>614</v>
      </c>
    </row>
    <row r="150" spans="5:5" hidden="1" x14ac:dyDescent="0.15">
      <c r="E150" s="3" t="s">
        <v>540</v>
      </c>
    </row>
    <row r="151" spans="5:5" hidden="1" x14ac:dyDescent="0.15">
      <c r="E151" s="3" t="s">
        <v>615</v>
      </c>
    </row>
    <row r="152" spans="5:5" hidden="1" x14ac:dyDescent="0.15">
      <c r="E152" s="3" t="s">
        <v>616</v>
      </c>
    </row>
    <row r="153" spans="5:5" hidden="1" x14ac:dyDescent="0.15">
      <c r="E153" s="3" t="s">
        <v>617</v>
      </c>
    </row>
    <row r="154" spans="5:5" hidden="1" x14ac:dyDescent="0.15">
      <c r="E154" s="3" t="s">
        <v>618</v>
      </c>
    </row>
    <row r="155" spans="5:5" hidden="1" x14ac:dyDescent="0.15">
      <c r="E155" s="3" t="s">
        <v>619</v>
      </c>
    </row>
    <row r="156" spans="5:5" hidden="1" x14ac:dyDescent="0.15">
      <c r="E156" s="3" t="s">
        <v>620</v>
      </c>
    </row>
    <row r="157" spans="5:5" hidden="1" x14ac:dyDescent="0.15">
      <c r="E157" s="2" t="s">
        <v>621</v>
      </c>
    </row>
    <row r="158" spans="5:5" hidden="1" x14ac:dyDescent="0.15"/>
    <row r="192" spans="5:5" x14ac:dyDescent="0.15">
      <c r="E192" s="10" t="s">
        <v>23</v>
      </c>
    </row>
    <row r="193" spans="5:5" x14ac:dyDescent="0.15">
      <c r="E193" s="10" t="s">
        <v>24</v>
      </c>
    </row>
    <row r="194" spans="5:5" x14ac:dyDescent="0.15">
      <c r="E194" s="10" t="s">
        <v>25</v>
      </c>
    </row>
    <row r="195" spans="5:5" x14ac:dyDescent="0.15">
      <c r="E195" s="10" t="s">
        <v>26</v>
      </c>
    </row>
    <row r="196" spans="5:5" x14ac:dyDescent="0.15">
      <c r="E196" s="10" t="s">
        <v>27</v>
      </c>
    </row>
    <row r="197" spans="5:5" x14ac:dyDescent="0.15">
      <c r="E197" s="10" t="s">
        <v>28</v>
      </c>
    </row>
    <row r="198" spans="5:5" x14ac:dyDescent="0.15">
      <c r="E198" s="10" t="s">
        <v>275</v>
      </c>
    </row>
    <row r="199" spans="5:5" x14ac:dyDescent="0.15">
      <c r="E199" s="10" t="s">
        <v>30</v>
      </c>
    </row>
    <row r="200" spans="5:5" x14ac:dyDescent="0.15">
      <c r="E200" s="10" t="s">
        <v>31</v>
      </c>
    </row>
    <row r="201" spans="5:5" x14ac:dyDescent="0.15">
      <c r="E201" s="10" t="s">
        <v>276</v>
      </c>
    </row>
    <row r="202" spans="5:5" x14ac:dyDescent="0.15">
      <c r="E202" s="10" t="s">
        <v>33</v>
      </c>
    </row>
    <row r="203" spans="5:5" x14ac:dyDescent="0.15">
      <c r="E203" s="10" t="s">
        <v>34</v>
      </c>
    </row>
    <row r="204" spans="5:5" x14ac:dyDescent="0.15">
      <c r="E204" s="10" t="s">
        <v>35</v>
      </c>
    </row>
    <row r="205" spans="5:5" x14ac:dyDescent="0.15">
      <c r="E205" s="10" t="s">
        <v>36</v>
      </c>
    </row>
    <row r="206" spans="5:5" x14ac:dyDescent="0.15">
      <c r="E206" s="10" t="s">
        <v>37</v>
      </c>
    </row>
    <row r="207" spans="5:5" x14ac:dyDescent="0.15">
      <c r="E207" s="10" t="s">
        <v>38</v>
      </c>
    </row>
    <row r="208" spans="5:5" x14ac:dyDescent="0.15">
      <c r="E208" s="10" t="s">
        <v>277</v>
      </c>
    </row>
  </sheetData>
  <sheetProtection password="CC19" sheet="1" scenarios="1"/>
  <mergeCells count="78">
    <mergeCell ref="E65:K65"/>
    <mergeCell ref="L65:M67"/>
    <mergeCell ref="E66:F66"/>
    <mergeCell ref="G66:H66"/>
    <mergeCell ref="I66:I67"/>
    <mergeCell ref="J66:J67"/>
    <mergeCell ref="K66:K67"/>
    <mergeCell ref="B52:C52"/>
    <mergeCell ref="B53:C53"/>
    <mergeCell ref="B54:C54"/>
    <mergeCell ref="B55:C55"/>
    <mergeCell ref="B65:D65"/>
    <mergeCell ref="B47:C47"/>
    <mergeCell ref="B48:C48"/>
    <mergeCell ref="B49:C49"/>
    <mergeCell ref="B50:C50"/>
    <mergeCell ref="B51:C51"/>
    <mergeCell ref="E17:E18"/>
    <mergeCell ref="F17:F18"/>
    <mergeCell ref="G17:G18"/>
    <mergeCell ref="B45:C45"/>
    <mergeCell ref="B46:C46"/>
    <mergeCell ref="D43:D44"/>
    <mergeCell ref="F43:H43"/>
    <mergeCell ref="B41:D41"/>
    <mergeCell ref="B42:D42"/>
    <mergeCell ref="B43:C44"/>
    <mergeCell ref="E41:F41"/>
    <mergeCell ref="E42:H42"/>
    <mergeCell ref="E19:E20"/>
    <mergeCell ref="F19:F20"/>
    <mergeCell ref="G19:G20"/>
    <mergeCell ref="H19:H20"/>
    <mergeCell ref="J19:J20"/>
    <mergeCell ref="J13:J14"/>
    <mergeCell ref="I15:I16"/>
    <mergeCell ref="J42:J44"/>
    <mergeCell ref="K42:M42"/>
    <mergeCell ref="I42:I43"/>
    <mergeCell ref="K20:L20"/>
    <mergeCell ref="I19:I20"/>
    <mergeCell ref="G15:G16"/>
    <mergeCell ref="H15:H16"/>
    <mergeCell ref="H17:H18"/>
    <mergeCell ref="I17:I18"/>
    <mergeCell ref="J17:J18"/>
    <mergeCell ref="B4:C4"/>
    <mergeCell ref="B5:E6"/>
    <mergeCell ref="F6:G6"/>
    <mergeCell ref="J7:J8"/>
    <mergeCell ref="H9:H10"/>
    <mergeCell ref="I9:I10"/>
    <mergeCell ref="J9:J10"/>
    <mergeCell ref="G9:G10"/>
    <mergeCell ref="H6:I6"/>
    <mergeCell ref="J6:K6"/>
    <mergeCell ref="B7:C7"/>
    <mergeCell ref="D7:D8"/>
    <mergeCell ref="E7:F7"/>
    <mergeCell ref="K10:L10"/>
    <mergeCell ref="I7:I8"/>
    <mergeCell ref="H7:H8"/>
    <mergeCell ref="K7:M7"/>
    <mergeCell ref="G7:G8"/>
    <mergeCell ref="J15:J16"/>
    <mergeCell ref="B9:B20"/>
    <mergeCell ref="C9:C10"/>
    <mergeCell ref="C11:C12"/>
    <mergeCell ref="E11:E12"/>
    <mergeCell ref="F11:F12"/>
    <mergeCell ref="C13:C14"/>
    <mergeCell ref="C17:C18"/>
    <mergeCell ref="C19:C20"/>
    <mergeCell ref="E9:E10"/>
    <mergeCell ref="F9:F10"/>
    <mergeCell ref="C15:C16"/>
    <mergeCell ref="E15:E16"/>
    <mergeCell ref="F15:F16"/>
  </mergeCells>
  <phoneticPr fontId="3"/>
  <dataValidations count="7">
    <dataValidation type="list" allowBlank="1" showInputMessage="1" showErrorMessage="1" sqref="E41:F41" xr:uid="{00000000-0002-0000-0000-000000000000}">
      <formula1>$I$581:$I$626</formula1>
    </dataValidation>
    <dataValidation type="list" allowBlank="1" showInputMessage="1" showErrorMessage="1" sqref="J45:J55" xr:uid="{00000000-0002-0000-0000-000001000000}">
      <formula1>$J$549:$J$552</formula1>
    </dataValidation>
    <dataValidation type="list" allowBlank="1" showInputMessage="1" showErrorMessage="1" sqref="H6:I6" xr:uid="{00000000-0002-0000-0000-000002000000}">
      <formula1>$E$144:$E$157</formula1>
    </dataValidation>
    <dataValidation type="list" allowBlank="1" showInputMessage="1" showErrorMessage="1" sqref="L6" xr:uid="{00000000-0002-0000-0000-000003000000}">
      <formula1>$D$607:$D$608</formula1>
    </dataValidation>
    <dataValidation type="list" allowBlank="1" showInputMessage="1" showErrorMessage="1" sqref="J11:J20" xr:uid="{00000000-0002-0000-0000-000004000000}">
      <formula1>$H$537:$H$554</formula1>
    </dataValidation>
    <dataValidation type="list" allowBlank="1" showInputMessage="1" showErrorMessage="1" sqref="K9" xr:uid="{00000000-0002-0000-0000-000005000000}">
      <formula1>$F$564:$F$574</formula1>
    </dataValidation>
    <dataValidation type="list" allowBlank="1" showInputMessage="1" showErrorMessage="1" sqref="J9:J10" xr:uid="{00000000-0002-0000-0000-000006000000}">
      <formula1>$E$191:$E$208</formula1>
    </dataValidation>
  </dataValidations>
  <pageMargins left="0.39370078740157483" right="0" top="0.98425196850393704" bottom="0.39370078740157483" header="0.51181102362204722" footer="0"/>
  <pageSetup paperSize="9" orientation="portrait" horizontalDpi="300" verticalDpi="300"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DM674"/>
  <sheetViews>
    <sheetView showGridLines="0" showRowColHeaders="0" showZeros="0" workbookViewId="0">
      <selection activeCell="E15" sqref="E15:E16"/>
    </sheetView>
  </sheetViews>
  <sheetFormatPr defaultRowHeight="14.25" x14ac:dyDescent="0.15"/>
  <cols>
    <col min="1" max="1" width="2.875" style="3" customWidth="1"/>
    <col min="2" max="3" width="3.625" style="3" customWidth="1"/>
    <col min="4" max="5" width="4.625" style="3" customWidth="1"/>
    <col min="6" max="7" width="7.625" style="3" customWidth="1"/>
    <col min="8" max="11" width="8.625" style="3" customWidth="1"/>
    <col min="12" max="16" width="7.625" style="3" customWidth="1"/>
    <col min="17" max="17" width="9" style="3" customWidth="1"/>
    <col min="18" max="18" width="8.75" style="3" customWidth="1"/>
    <col min="19" max="35" width="7.625" style="3" customWidth="1"/>
    <col min="36" max="36" width="4" style="3" customWidth="1"/>
    <col min="37" max="37" width="4.375" style="3" customWidth="1"/>
    <col min="38" max="38" width="4.625" style="3" customWidth="1"/>
    <col min="39" max="40" width="5" style="3" hidden="1" customWidth="1"/>
    <col min="41" max="43" width="9" style="3" hidden="1" customWidth="1"/>
    <col min="44" max="44" width="9.875" style="3" hidden="1" customWidth="1"/>
    <col min="45" max="46" width="9.5" style="3" hidden="1" customWidth="1"/>
    <col min="47" max="66" width="9" style="3" hidden="1" customWidth="1"/>
    <col min="67" max="68" width="10.5" style="3" hidden="1" customWidth="1"/>
    <col min="69" max="79" width="9" style="3" hidden="1" customWidth="1"/>
    <col min="80" max="80" width="10.25" style="3" hidden="1" customWidth="1"/>
    <col min="81" max="117" width="9" style="3" hidden="1" customWidth="1"/>
    <col min="118" max="16384" width="9" style="3"/>
  </cols>
  <sheetData>
    <row r="1" spans="2:103" x14ac:dyDescent="0.15">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row>
    <row r="2" spans="2:103" x14ac:dyDescent="0.15">
      <c r="B2" s="194"/>
      <c r="C2" s="194"/>
      <c r="D2" s="194"/>
      <c r="E2" s="194"/>
      <c r="F2" s="608"/>
      <c r="G2" s="609"/>
      <c r="H2" s="482"/>
      <c r="I2" s="609"/>
      <c r="J2" s="610" t="s">
        <v>979</v>
      </c>
      <c r="K2" s="611"/>
      <c r="L2" s="612"/>
      <c r="M2" s="613"/>
      <c r="N2" s="480"/>
      <c r="O2" s="194"/>
      <c r="P2" s="610" t="s">
        <v>969</v>
      </c>
      <c r="Q2" s="611"/>
      <c r="R2" s="612"/>
      <c r="S2" s="613"/>
      <c r="T2" s="480"/>
      <c r="U2" s="194"/>
      <c r="V2" s="194"/>
      <c r="W2" s="194"/>
      <c r="X2" s="194"/>
      <c r="Y2" s="194"/>
      <c r="Z2" s="194"/>
      <c r="AA2" s="194"/>
      <c r="AB2" s="194"/>
      <c r="AC2" s="194"/>
      <c r="AD2" s="194"/>
      <c r="AE2" s="194"/>
      <c r="AF2" s="194"/>
      <c r="AG2" s="194"/>
      <c r="AH2" s="194"/>
      <c r="AI2" s="194"/>
      <c r="AJ2" s="194"/>
      <c r="AK2" s="194"/>
      <c r="AL2" s="194"/>
    </row>
    <row r="3" spans="2:103" x14ac:dyDescent="0.15">
      <c r="B3" s="194"/>
      <c r="C3" s="194"/>
      <c r="D3" s="194"/>
      <c r="E3" s="194"/>
      <c r="F3" s="608" t="s">
        <v>867</v>
      </c>
      <c r="G3" s="608"/>
      <c r="H3" s="490"/>
      <c r="I3" s="608"/>
      <c r="J3" s="490"/>
      <c r="K3" s="515" t="s">
        <v>865</v>
      </c>
      <c r="L3" s="515" t="s">
        <v>866</v>
      </c>
      <c r="M3" s="614"/>
      <c r="N3" s="608"/>
      <c r="O3" s="194"/>
      <c r="P3" s="490"/>
      <c r="Q3" s="515"/>
      <c r="R3" s="515" t="s">
        <v>866</v>
      </c>
      <c r="S3" s="614"/>
      <c r="T3" s="608" t="s">
        <v>976</v>
      </c>
      <c r="U3" s="194"/>
      <c r="V3" s="194"/>
      <c r="W3" s="194"/>
      <c r="X3" s="194"/>
      <c r="Y3" s="194"/>
      <c r="Z3" s="194"/>
      <c r="AA3" s="194"/>
      <c r="AB3" s="194"/>
      <c r="AC3" s="194"/>
      <c r="AD3" s="194"/>
      <c r="AE3" s="194"/>
      <c r="AF3" s="194"/>
      <c r="AG3" s="194"/>
      <c r="AH3" s="194"/>
      <c r="AI3" s="194"/>
      <c r="AJ3" s="194"/>
      <c r="AK3" s="194"/>
      <c r="AL3" s="194"/>
    </row>
    <row r="4" spans="2:103" x14ac:dyDescent="0.15">
      <c r="B4" s="194"/>
      <c r="C4" s="194"/>
      <c r="D4" s="194"/>
      <c r="E4" s="194"/>
      <c r="F4" s="194"/>
      <c r="G4" s="615"/>
      <c r="H4" s="616" t="s">
        <v>866</v>
      </c>
      <c r="I4" s="617"/>
      <c r="J4" s="618"/>
      <c r="K4" s="617"/>
      <c r="L4" s="619"/>
      <c r="M4" s="520"/>
      <c r="N4" s="620"/>
      <c r="O4" s="194"/>
      <c r="P4" s="618"/>
      <c r="Q4" s="617"/>
      <c r="R4" s="619"/>
      <c r="S4" s="520"/>
      <c r="T4" s="620"/>
      <c r="U4" s="194"/>
      <c r="V4" s="194"/>
      <c r="W4" s="194"/>
      <c r="X4" s="194"/>
      <c r="Y4" s="194"/>
      <c r="Z4" s="194"/>
      <c r="AA4" s="769"/>
      <c r="AB4" s="769"/>
      <c r="AC4" s="194"/>
      <c r="AD4" s="194"/>
      <c r="AE4" s="194"/>
      <c r="AF4" s="194"/>
      <c r="AG4" s="194"/>
      <c r="AH4" s="194"/>
      <c r="AI4" s="194"/>
      <c r="AJ4" s="194"/>
      <c r="AK4" s="194"/>
      <c r="AL4" s="194"/>
    </row>
    <row r="5" spans="2:103" x14ac:dyDescent="0.15">
      <c r="B5" s="194"/>
      <c r="C5" s="194"/>
      <c r="D5" s="194"/>
      <c r="E5" s="194"/>
      <c r="F5" s="608"/>
      <c r="G5" s="621"/>
      <c r="H5" s="621"/>
      <c r="I5" s="490" t="s">
        <v>868</v>
      </c>
      <c r="J5" s="608"/>
      <c r="K5" s="622"/>
      <c r="L5" s="515"/>
      <c r="M5" s="623"/>
      <c r="N5" s="624" t="s">
        <v>869</v>
      </c>
      <c r="O5" s="194"/>
      <c r="P5" s="608"/>
      <c r="Q5" s="622"/>
      <c r="R5" s="492" t="s">
        <v>975</v>
      </c>
      <c r="S5" s="623"/>
      <c r="T5" s="625" t="s">
        <v>977</v>
      </c>
      <c r="U5" s="194"/>
      <c r="V5" s="194"/>
      <c r="W5" s="194"/>
      <c r="X5" s="194"/>
      <c r="Y5" s="194"/>
      <c r="Z5" s="194"/>
      <c r="AA5" s="194"/>
      <c r="AB5" s="194"/>
      <c r="AC5" s="194"/>
      <c r="AD5" s="194"/>
      <c r="AE5" s="194"/>
      <c r="AF5" s="194"/>
      <c r="AG5" s="194"/>
      <c r="AH5" s="194"/>
      <c r="AI5" s="194"/>
      <c r="AJ5" s="194"/>
      <c r="AK5" s="194"/>
      <c r="AL5" s="194"/>
    </row>
    <row r="6" spans="2:103" x14ac:dyDescent="0.15">
      <c r="B6" s="194"/>
      <c r="C6" s="194"/>
      <c r="D6" s="194"/>
      <c r="E6" s="194"/>
      <c r="F6" s="608"/>
      <c r="G6" s="615"/>
      <c r="H6" s="618"/>
      <c r="I6" s="617"/>
      <c r="J6" s="490"/>
      <c r="K6" s="626" t="s">
        <v>870</v>
      </c>
      <c r="L6" s="614"/>
      <c r="M6" s="625" t="s">
        <v>871</v>
      </c>
      <c r="N6" s="620"/>
      <c r="O6" s="194"/>
      <c r="P6" s="490"/>
      <c r="Q6" s="626" t="s">
        <v>973</v>
      </c>
      <c r="R6" s="614"/>
      <c r="S6" s="625" t="s">
        <v>974</v>
      </c>
      <c r="T6" s="620"/>
      <c r="U6" s="194"/>
      <c r="V6" s="194"/>
      <c r="W6" s="194"/>
      <c r="X6" s="194"/>
      <c r="Y6" s="194"/>
      <c r="Z6" s="194"/>
      <c r="AA6" s="194"/>
      <c r="AB6" s="194"/>
      <c r="AC6" s="194"/>
      <c r="AD6" s="194"/>
      <c r="AE6" s="194"/>
      <c r="AF6" s="194"/>
      <c r="AG6" s="194"/>
      <c r="AH6" s="194"/>
      <c r="AI6" s="194"/>
      <c r="AJ6" s="194"/>
      <c r="AK6" s="194"/>
      <c r="AL6" s="194"/>
    </row>
    <row r="7" spans="2:103" x14ac:dyDescent="0.15">
      <c r="B7" s="194"/>
      <c r="C7" s="194"/>
      <c r="D7" s="194"/>
      <c r="E7" s="194"/>
      <c r="F7" s="479" t="s">
        <v>865</v>
      </c>
      <c r="G7" s="627" t="s">
        <v>872</v>
      </c>
      <c r="H7" s="628" t="s">
        <v>873</v>
      </c>
      <c r="I7" s="617" t="s">
        <v>874</v>
      </c>
      <c r="J7" s="618"/>
      <c r="K7" s="617"/>
      <c r="L7" s="480" t="s">
        <v>875</v>
      </c>
      <c r="M7" s="629"/>
      <c r="N7" s="615" t="s">
        <v>874</v>
      </c>
      <c r="O7" s="194"/>
      <c r="P7" s="618"/>
      <c r="Q7" s="617"/>
      <c r="R7" s="480" t="s">
        <v>978</v>
      </c>
      <c r="S7" s="629"/>
      <c r="T7" s="615"/>
      <c r="U7" s="194"/>
      <c r="V7" s="194"/>
      <c r="W7" s="194"/>
      <c r="X7" s="194"/>
      <c r="Y7" s="194"/>
      <c r="Z7" s="194"/>
      <c r="AA7" s="194"/>
      <c r="AB7" s="194"/>
      <c r="AC7" s="194"/>
      <c r="AD7" s="194"/>
      <c r="AE7" s="194"/>
      <c r="AF7" s="194"/>
      <c r="AG7" s="194"/>
      <c r="AH7" s="194"/>
      <c r="AI7" s="194"/>
      <c r="AJ7" s="194"/>
      <c r="AK7" s="194"/>
      <c r="AL7" s="194"/>
    </row>
    <row r="8" spans="2:103" ht="15" thickBot="1" x14ac:dyDescent="0.2">
      <c r="B8" s="194"/>
      <c r="C8" s="194"/>
      <c r="D8" s="194"/>
      <c r="E8" s="194"/>
      <c r="F8" s="608"/>
      <c r="G8" s="630"/>
      <c r="H8" s="631" t="s">
        <v>876</v>
      </c>
      <c r="I8" s="617"/>
      <c r="J8" s="618"/>
      <c r="K8" s="617"/>
      <c r="L8" s="515"/>
      <c r="M8" s="520"/>
      <c r="N8" s="482"/>
      <c r="O8" s="194"/>
      <c r="P8" s="618"/>
      <c r="Q8" s="617"/>
      <c r="R8" s="515"/>
      <c r="S8" s="520"/>
      <c r="T8" s="482"/>
      <c r="U8" s="194"/>
      <c r="V8" s="194"/>
      <c r="W8" s="194"/>
      <c r="X8" s="194"/>
      <c r="Y8" s="194"/>
      <c r="Z8" s="194"/>
      <c r="AA8" s="194"/>
      <c r="AB8" s="194"/>
      <c r="AC8" s="194"/>
      <c r="AD8" s="194"/>
      <c r="AE8" s="194"/>
      <c r="AF8" s="194"/>
      <c r="AG8" s="194"/>
      <c r="AH8" s="194"/>
      <c r="AI8" s="194"/>
      <c r="AJ8" s="194"/>
      <c r="AK8" s="194"/>
      <c r="AL8" s="194"/>
      <c r="BV8" s="632">
        <f>+準備!G20</f>
        <v>450</v>
      </c>
      <c r="BW8" s="3">
        <v>3</v>
      </c>
      <c r="BX8" s="3">
        <f>+BV8*BW8</f>
        <v>1350</v>
      </c>
    </row>
    <row r="9" spans="2:103" ht="15" thickBot="1" x14ac:dyDescent="0.2">
      <c r="B9" s="633" t="s">
        <v>1076</v>
      </c>
      <c r="C9" s="634"/>
      <c r="D9" s="654"/>
      <c r="E9" s="635"/>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P9" s="9" t="s">
        <v>1188</v>
      </c>
      <c r="AQ9" s="23"/>
      <c r="AR9" s="23"/>
    </row>
    <row r="10" spans="2:103" ht="15" thickBot="1" x14ac:dyDescent="0.2">
      <c r="B10" s="1172" t="s">
        <v>192</v>
      </c>
      <c r="C10" s="1173"/>
      <c r="D10" s="1173"/>
      <c r="E10" s="1173"/>
      <c r="F10" s="167" t="s">
        <v>161</v>
      </c>
      <c r="G10" s="408" t="str">
        <f>+IF(VALUE(RIGHT(J10,4))&lt;=0.5,K631,K630)</f>
        <v>一般地域               2</v>
      </c>
      <c r="H10" s="1350" t="s">
        <v>771</v>
      </c>
      <c r="I10" s="1351"/>
      <c r="J10" s="1353">
        <f>+断面算定!P3</f>
        <v>0</v>
      </c>
      <c r="K10" s="1174"/>
      <c r="L10" s="169" t="s">
        <v>162</v>
      </c>
      <c r="M10" s="170">
        <f>+VALUE(RIGHT(J10,4))</f>
        <v>0</v>
      </c>
      <c r="N10" s="635" t="s">
        <v>475</v>
      </c>
      <c r="O10" s="302"/>
      <c r="P10" s="302"/>
      <c r="Q10" s="302"/>
      <c r="R10" s="302"/>
      <c r="S10" s="769"/>
      <c r="T10" s="769"/>
      <c r="U10" s="302"/>
      <c r="V10" s="302"/>
      <c r="W10" s="302"/>
      <c r="X10" s="302"/>
      <c r="Y10" s="302"/>
      <c r="Z10" s="302"/>
      <c r="AA10" s="302"/>
      <c r="AB10" s="302"/>
      <c r="AC10" s="302"/>
      <c r="AD10" s="302"/>
      <c r="AE10" s="302"/>
      <c r="AF10" s="302"/>
      <c r="AG10" s="302"/>
      <c r="AH10" s="302"/>
      <c r="AI10" s="302"/>
      <c r="AJ10" s="302"/>
      <c r="AK10" s="225"/>
      <c r="AL10" s="194"/>
      <c r="AP10" s="3" t="s">
        <v>1189</v>
      </c>
      <c r="AQ10" s="9" t="s">
        <v>1190</v>
      </c>
      <c r="AR10" s="9" t="s">
        <v>1191</v>
      </c>
      <c r="AW10" s="3" t="e">
        <f>VLOOKUP(AU18,許容応力!B6:K22,7)</f>
        <v>#VALUE!</v>
      </c>
      <c r="AX10" s="3" t="e">
        <f>ROUND(AW10*1.1/3*100,0)</f>
        <v>#VALUE!</v>
      </c>
    </row>
    <row r="11" spans="2:103" ht="15" thickBot="1" x14ac:dyDescent="0.2">
      <c r="B11" s="1235"/>
      <c r="C11" s="1382"/>
      <c r="D11" s="1382"/>
      <c r="E11" s="1382"/>
      <c r="F11" s="1178" t="s">
        <v>653</v>
      </c>
      <c r="G11" s="1179"/>
      <c r="H11" s="1279" t="s">
        <v>1210</v>
      </c>
      <c r="I11" s="1385"/>
      <c r="J11" s="1229"/>
      <c r="K11" s="1363"/>
      <c r="L11" s="1279" t="s">
        <v>207</v>
      </c>
      <c r="M11" s="1280"/>
      <c r="N11" s="1281" t="s">
        <v>419</v>
      </c>
      <c r="O11" s="1172" t="s">
        <v>165</v>
      </c>
      <c r="P11" s="1283"/>
      <c r="Q11" s="1228" t="s">
        <v>243</v>
      </c>
      <c r="R11" s="1286"/>
      <c r="S11" s="1286"/>
      <c r="T11" s="1286"/>
      <c r="U11" s="1287"/>
      <c r="V11" s="1200" t="s">
        <v>241</v>
      </c>
      <c r="W11" s="1227" t="s">
        <v>199</v>
      </c>
      <c r="X11" s="1228"/>
      <c r="Y11" s="1229"/>
      <c r="Z11" s="1227" t="s">
        <v>200</v>
      </c>
      <c r="AA11" s="1228"/>
      <c r="AB11" s="1229"/>
      <c r="AC11" s="1249" t="s">
        <v>709</v>
      </c>
      <c r="AD11" s="1665"/>
      <c r="AE11" s="1665"/>
      <c r="AF11" s="1665"/>
      <c r="AG11" s="1665"/>
      <c r="AH11" s="1665"/>
      <c r="AI11" s="1666"/>
      <c r="AJ11" s="1259" t="s">
        <v>166</v>
      </c>
      <c r="AK11" s="1260"/>
      <c r="AL11" s="194"/>
      <c r="AP11" s="605">
        <f>+断面算定!CN4</f>
        <v>2</v>
      </c>
      <c r="AQ11" s="604">
        <f>+断面算定!CO4</f>
        <v>0.8</v>
      </c>
      <c r="AR11" s="606">
        <f>ROUND(AP11*AQ11,1)</f>
        <v>1.6</v>
      </c>
    </row>
    <row r="12" spans="2:103" ht="15" thickBot="1" x14ac:dyDescent="0.2">
      <c r="B12" s="1383"/>
      <c r="C12" s="1384"/>
      <c r="D12" s="1384"/>
      <c r="E12" s="1384"/>
      <c r="F12" s="1354"/>
      <c r="G12" s="1355"/>
      <c r="H12" s="1388">
        <f>+断面算定!H5</f>
        <v>0</v>
      </c>
      <c r="I12" s="1389"/>
      <c r="J12" s="1390"/>
      <c r="K12" s="1391"/>
      <c r="L12" s="784">
        <f>+断面算定!T3</f>
        <v>0</v>
      </c>
      <c r="M12" s="224" t="s">
        <v>208</v>
      </c>
      <c r="N12" s="1282"/>
      <c r="O12" s="1284"/>
      <c r="P12" s="1285"/>
      <c r="Q12" s="1288"/>
      <c r="R12" s="1288"/>
      <c r="S12" s="1288"/>
      <c r="T12" s="1288"/>
      <c r="U12" s="1289"/>
      <c r="V12" s="1290"/>
      <c r="W12" s="1415"/>
      <c r="X12" s="1288"/>
      <c r="Y12" s="1289"/>
      <c r="Z12" s="1415"/>
      <c r="AA12" s="1288"/>
      <c r="AB12" s="1289"/>
      <c r="AC12" s="1251"/>
      <c r="AD12" s="1252"/>
      <c r="AE12" s="1252"/>
      <c r="AF12" s="1252"/>
      <c r="AG12" s="1252"/>
      <c r="AH12" s="1252"/>
      <c r="AI12" s="1524"/>
      <c r="AJ12" s="1261"/>
      <c r="AK12" s="1262"/>
      <c r="AL12" s="194"/>
      <c r="AP12" s="2"/>
      <c r="AQ12" s="9"/>
      <c r="AR12" s="302"/>
    </row>
    <row r="13" spans="2:103" x14ac:dyDescent="0.15">
      <c r="B13" s="1189" t="s">
        <v>167</v>
      </c>
      <c r="C13" s="1190"/>
      <c r="D13" s="1200" t="s">
        <v>807</v>
      </c>
      <c r="E13" s="1192" t="s">
        <v>190</v>
      </c>
      <c r="F13" s="1192"/>
      <c r="G13" s="1197" t="s">
        <v>968</v>
      </c>
      <c r="H13" s="1393"/>
      <c r="I13" s="1393"/>
      <c r="J13" s="1394"/>
      <c r="K13" s="1200" t="s">
        <v>15</v>
      </c>
      <c r="L13" s="1192" t="s">
        <v>783</v>
      </c>
      <c r="M13" s="1192"/>
      <c r="N13" s="1192"/>
      <c r="O13" s="656" t="s">
        <v>188</v>
      </c>
      <c r="P13" s="1292" t="s">
        <v>242</v>
      </c>
      <c r="Q13" s="1293" t="s">
        <v>1187</v>
      </c>
      <c r="R13" s="1209" t="s">
        <v>418</v>
      </c>
      <c r="S13" s="1210"/>
      <c r="T13" s="1211"/>
      <c r="U13" s="1293" t="s">
        <v>1069</v>
      </c>
      <c r="V13" s="1290"/>
      <c r="W13" s="586" t="s">
        <v>188</v>
      </c>
      <c r="X13" s="586" t="s">
        <v>189</v>
      </c>
      <c r="Y13" s="586" t="s">
        <v>242</v>
      </c>
      <c r="Z13" s="586" t="s">
        <v>188</v>
      </c>
      <c r="AA13" s="586" t="s">
        <v>189</v>
      </c>
      <c r="AB13" s="586" t="s">
        <v>242</v>
      </c>
      <c r="AC13" s="1237">
        <v>1</v>
      </c>
      <c r="AD13" s="1238"/>
      <c r="AE13" s="1237">
        <v>2</v>
      </c>
      <c r="AF13" s="1238"/>
      <c r="AG13" s="1293" t="s">
        <v>486</v>
      </c>
      <c r="AH13" s="1265" t="s">
        <v>710</v>
      </c>
      <c r="AI13" s="1413" t="s">
        <v>165</v>
      </c>
      <c r="AJ13" s="1261"/>
      <c r="AK13" s="1262"/>
      <c r="AL13" s="194"/>
    </row>
    <row r="14" spans="2:103" ht="15" thickBot="1" x14ac:dyDescent="0.2">
      <c r="B14" s="437"/>
      <c r="C14" s="570" t="s">
        <v>809</v>
      </c>
      <c r="D14" s="1392"/>
      <c r="E14" s="417" t="s">
        <v>184</v>
      </c>
      <c r="F14" s="418" t="s">
        <v>191</v>
      </c>
      <c r="G14" s="1209" t="s">
        <v>964</v>
      </c>
      <c r="H14" s="1395"/>
      <c r="I14" s="1209" t="s">
        <v>967</v>
      </c>
      <c r="J14" s="1395"/>
      <c r="K14" s="1291"/>
      <c r="L14" s="459" t="s">
        <v>781</v>
      </c>
      <c r="M14" s="459" t="s">
        <v>163</v>
      </c>
      <c r="N14" s="459" t="s">
        <v>782</v>
      </c>
      <c r="O14" s="728" t="s">
        <v>189</v>
      </c>
      <c r="P14" s="1240"/>
      <c r="Q14" s="1291"/>
      <c r="R14" s="567" t="s">
        <v>480</v>
      </c>
      <c r="S14" s="567" t="s">
        <v>481</v>
      </c>
      <c r="T14" s="567" t="s">
        <v>482</v>
      </c>
      <c r="U14" s="1291"/>
      <c r="V14" s="1291"/>
      <c r="W14" s="179" t="s">
        <v>194</v>
      </c>
      <c r="X14" s="179" t="s">
        <v>195</v>
      </c>
      <c r="Y14" s="179" t="s">
        <v>485</v>
      </c>
      <c r="Z14" s="179" t="s">
        <v>194</v>
      </c>
      <c r="AA14" s="179" t="s">
        <v>195</v>
      </c>
      <c r="AB14" s="179" t="s">
        <v>485</v>
      </c>
      <c r="AC14" s="581" t="s">
        <v>756</v>
      </c>
      <c r="AD14" s="581" t="s">
        <v>757</v>
      </c>
      <c r="AE14" s="581" t="s">
        <v>758</v>
      </c>
      <c r="AF14" s="581" t="s">
        <v>759</v>
      </c>
      <c r="AG14" s="1416"/>
      <c r="AH14" s="1266"/>
      <c r="AI14" s="1414"/>
      <c r="AJ14" s="1263"/>
      <c r="AK14" s="1264"/>
      <c r="AL14" s="194"/>
      <c r="BB14" s="3" t="s">
        <v>998</v>
      </c>
      <c r="BC14" s="3" t="s">
        <v>995</v>
      </c>
      <c r="BF14" s="3" t="s">
        <v>996</v>
      </c>
      <c r="BI14" s="3" t="s">
        <v>995</v>
      </c>
      <c r="BL14" s="3" t="s">
        <v>996</v>
      </c>
      <c r="BO14" s="9" t="s">
        <v>244</v>
      </c>
      <c r="BP14" s="9" t="s">
        <v>1000</v>
      </c>
      <c r="BQ14" s="23"/>
      <c r="BR14" s="9" t="s">
        <v>242</v>
      </c>
      <c r="BS14" s="63" t="s">
        <v>242</v>
      </c>
      <c r="BT14" s="63"/>
      <c r="BU14" s="410" t="s">
        <v>1001</v>
      </c>
      <c r="BW14" s="410" t="s">
        <v>1005</v>
      </c>
      <c r="BX14" s="3" t="s">
        <v>1007</v>
      </c>
      <c r="BY14" s="3" t="s">
        <v>1008</v>
      </c>
      <c r="BZ14" s="3" t="s">
        <v>1009</v>
      </c>
      <c r="CA14" s="3" t="s">
        <v>1010</v>
      </c>
      <c r="CB14" s="410" t="s">
        <v>1006</v>
      </c>
      <c r="CC14" s="410" t="s">
        <v>1016</v>
      </c>
      <c r="CF14" s="441" t="s">
        <v>242</v>
      </c>
      <c r="CG14" s="548"/>
      <c r="CH14" s="548" t="s">
        <v>995</v>
      </c>
      <c r="CI14" s="548" t="s">
        <v>189</v>
      </c>
      <c r="CJ14" s="548" t="s">
        <v>996</v>
      </c>
      <c r="CK14" s="548" t="s">
        <v>189</v>
      </c>
      <c r="CL14" s="545" t="s">
        <v>998</v>
      </c>
    </row>
    <row r="15" spans="2:103" x14ac:dyDescent="0.15">
      <c r="B15" s="1398" t="s">
        <v>1074</v>
      </c>
      <c r="C15" s="1400"/>
      <c r="D15" s="331"/>
      <c r="E15" s="1357"/>
      <c r="F15" s="1165" t="str">
        <f>IF(E15=0,"",ROUND(SQRT(COS(AU16*1.5*PI()/180)),3))</f>
        <v/>
      </c>
      <c r="G15" s="586" t="s">
        <v>962</v>
      </c>
      <c r="H15" s="586" t="s">
        <v>963</v>
      </c>
      <c r="I15" s="586" t="s">
        <v>965</v>
      </c>
      <c r="J15" s="586" t="s">
        <v>966</v>
      </c>
      <c r="K15" s="1575"/>
      <c r="L15" s="1654"/>
      <c r="M15" s="1229">
        <f>+IF(L15=0,0,"×")</f>
        <v>0</v>
      </c>
      <c r="N15" s="1295">
        <f>IF(L15=0,0,BB15)</f>
        <v>0</v>
      </c>
      <c r="O15" s="1296" t="str">
        <f>IF(W15=+"","",IF(AND(W15&lt;=1,X15&lt;=1,Z15&lt;=1,AA15&lt;=1),"OK!","NO!"))</f>
        <v/>
      </c>
      <c r="P15" s="1296">
        <f>IF(T15=0,0,IF(AND(R15=0,V19=0),0,IF(IF(Y15&gt;=AB15,Y15,AB15)&lt;=1,"OK!","NO!")))</f>
        <v>0</v>
      </c>
      <c r="Q15" s="1659"/>
      <c r="R15" s="1269"/>
      <c r="S15" s="1271">
        <f>IF(R15=0,0,+BR15)</f>
        <v>0</v>
      </c>
      <c r="T15" s="1313">
        <f>IF(AND(S19=0,R15=0),0,+IF(AND(VALUE(RIGHT(Q15,4))=2,S19&gt;0),0,IF(AND(VALUE(RIGHT(Q15,4))=1,R15&gt;0),0,CY15)))</f>
        <v>0</v>
      </c>
      <c r="U15" s="1257">
        <f>IF(R15=0,0,IF(BT18&gt;=BK18,BH18,BK18))</f>
        <v>0</v>
      </c>
      <c r="V15" s="1652"/>
      <c r="W15" s="1257" t="str">
        <f>IF(N15=0,"",ROUNDUP(BF18/AX20,2))</f>
        <v/>
      </c>
      <c r="X15" s="1257" t="str">
        <f>IF(N15=0,"",ROUND(BG18/BE20,2))</f>
        <v/>
      </c>
      <c r="Y15" s="1257">
        <f>IF(K15=0,0,IF(AND(R15=0,V19=0),0,IF(R15=0,ROUNDUP(CF15/(AZ20*$I$181*AR11*X19/100),2),+BS16)))</f>
        <v>0</v>
      </c>
      <c r="Z15" s="1257" t="str">
        <f>IF(N15=0,"",ROUNDUP(BI18/AY20,2))</f>
        <v/>
      </c>
      <c r="AA15" s="1257" t="str">
        <f>IF(N15=0,"",ROUNDUP(BJ18/BE20,2))</f>
        <v/>
      </c>
      <c r="AB15" s="1257">
        <f>IF(K15=0,0,IF(AND(R15=0,V19=0),0,IF(R15=0,ROUNDUP(CG15/(BA20*$I$181*AR11*X19/100),2),+BT16)))</f>
        <v>0</v>
      </c>
      <c r="AC15" s="158"/>
      <c r="AD15" s="426"/>
      <c r="AE15" s="430"/>
      <c r="AF15" s="428"/>
      <c r="AG15" s="1253">
        <f>IF(AC15=0,0,ROUND(AC15*AD15+AE15*AF15+AC16*AD16+AE16*AF16,2))</f>
        <v>0</v>
      </c>
      <c r="AH15" s="1253" t="str">
        <f>IF(AD15=0,"",IF(AN15=1,AM15/($AR$11*X19),AM15))</f>
        <v/>
      </c>
      <c r="AI15" s="1255" t="str">
        <f>IF(AH15=+"","",IF(AH15&lt;=1,"OK!","NO!"))</f>
        <v/>
      </c>
      <c r="AJ15" s="182">
        <f>+IF(I19=0,0,"1/")</f>
        <v>0</v>
      </c>
      <c r="AK15" s="183">
        <f>IF(I19=0,0,+BD20)</f>
        <v>0</v>
      </c>
      <c r="AL15" s="194"/>
      <c r="AM15" s="3" t="e">
        <f>+IF(BN18&gt;=BO18,BN18+CW17,BO18+CX17)</f>
        <v>#VALUE!</v>
      </c>
      <c r="AN15" s="3">
        <f>IF(P19=0,0,+VALUE(RIGHT(P19,4)))</f>
        <v>0</v>
      </c>
      <c r="AO15" s="515" t="s">
        <v>878</v>
      </c>
      <c r="AP15" s="3">
        <f>ROUND((G16+H16)/2,2)</f>
        <v>0</v>
      </c>
      <c r="AR15" s="349" t="s">
        <v>707</v>
      </c>
      <c r="AS15" s="349" t="s">
        <v>703</v>
      </c>
      <c r="AT15" s="520" t="s">
        <v>241</v>
      </c>
      <c r="AU15" s="17" t="s">
        <v>83</v>
      </c>
      <c r="AV15" s="63" t="e">
        <f t="shared" ref="AV15:BA15" si="0">ROUNDUP(BC15/3,-1)*3</f>
        <v>#DIV/0!</v>
      </c>
      <c r="AW15" s="63" t="e">
        <f t="shared" si="0"/>
        <v>#VALUE!</v>
      </c>
      <c r="AX15" s="63" t="e">
        <f t="shared" si="0"/>
        <v>#VALUE!</v>
      </c>
      <c r="AY15" s="63" t="e">
        <f t="shared" si="0"/>
        <v>#DIV/0!</v>
      </c>
      <c r="AZ15" s="63" t="e">
        <f t="shared" si="0"/>
        <v>#VALUE!</v>
      </c>
      <c r="BA15" s="63" t="e">
        <f t="shared" si="0"/>
        <v>#VALUE!</v>
      </c>
      <c r="BB15" s="155" t="e">
        <f>+MAX(AV15:BA15)</f>
        <v>#DIV/0!</v>
      </c>
      <c r="BC15" s="63" t="e">
        <f>ROUND(SQRT(ROUND(BI15/AX20*6/(L15/10)/IF(V15=0,1,V15),1))*10,0)</f>
        <v>#DIV/0!</v>
      </c>
      <c r="BD15" s="3" t="e">
        <f>POWER(ROUNDUP(BJ15/(L15/10)*12,0)/IF(V15=0,1,V15)/BE20,1/3)*10</f>
        <v>#VALUE!</v>
      </c>
      <c r="BE15" s="3" t="e">
        <f>POWER(ROUND(BK15/(L15/10)*12,0)/IF(V15=0,1,V15)/BE20,1/3)*10</f>
        <v>#VALUE!</v>
      </c>
      <c r="BF15" s="63" t="e">
        <f>ROUND(SQRT(ROUND(BL15/AY20*6/(L15/10)/IF(V15=0,1,V15),1))*10,2)</f>
        <v>#DIV/0!</v>
      </c>
      <c r="BG15" s="3" t="e">
        <f>POWER(ROUND(BM15/(L15/10)*12,0)/IF(V15=0,1,V15)/BE20,1/3)*10</f>
        <v>#VALUE!</v>
      </c>
      <c r="BH15" s="3" t="e">
        <f>POWER(ROUND(BN15/(L15/10)*12,0)/IF(V15=0,1,V15)/BE20,1/3)*10</f>
        <v>#VALUE!</v>
      </c>
      <c r="BI15" s="63" t="e">
        <f>ROUNDUP(AW18*AW17/AQ19*AR17,1)+BX18+CM18</f>
        <v>#DIV/0!</v>
      </c>
      <c r="BJ15" s="63" t="e">
        <f>AR17*AW17*SQRT(POWER(BA17-AY17,3))/(9*SQRT(3)*AS19*(AW17+AW18))+BY19+CO18</f>
        <v>#VALUE!</v>
      </c>
      <c r="BK15" s="63" t="e">
        <f>AR17*AW18*SQRT(POWER(BA17-AY18,3))/(9*SQRT(3)*AS19*(AW17+AW18))+BY19+CO18</f>
        <v>#VALUE!</v>
      </c>
      <c r="BL15" s="63" t="e">
        <f>ROUNDUP(AW18*AW17/AQ19*AS17,1)+BX18+CN18</f>
        <v>#DIV/0!</v>
      </c>
      <c r="BM15" s="63" t="e">
        <f>AS17*AW17*SQRT(POWER(BA17-AY17,3))/(9*SQRT(3)*AS19*(AW17+AW18))+BY19+CO18</f>
        <v>#VALUE!</v>
      </c>
      <c r="BN15" s="63" t="e">
        <f>AS17*AW18*SQRT(POWER(BA17-AY18,3))/(9*SQRT(3)*AS19*(AW17+AW18))+BY19+CP18</f>
        <v>#VALUE!</v>
      </c>
      <c r="BO15" s="9" t="e">
        <f>IF(AW18&gt;=AW17,ROUNDUP(AR17*AW18/AQ19/BB20,2),ROUNDUP(AR17*AW17/AQ19/BB20,2))</f>
        <v>#DIV/0!</v>
      </c>
      <c r="BP15" s="9" t="e">
        <f>IF(AW18&gt;=AW17,ROUNDUP(AS17*AW18/AQ19/BC20,2),ROUNDUP(AS17*AW17/AQ19/BC20,2))</f>
        <v>#VALUE!</v>
      </c>
      <c r="BQ15" s="23" t="e">
        <f>IF(BO15&gt;=BP15,BO15,BP15)</f>
        <v>#DIV/0!</v>
      </c>
      <c r="BR15" s="9">
        <f>IF(N15=0,0,ROUNDUP(SQRT((U15*L15/10*N15/10)/(R15*R15)),2))</f>
        <v>0</v>
      </c>
      <c r="BS15" s="800" t="s">
        <v>473</v>
      </c>
      <c r="BT15" s="63" t="s">
        <v>474</v>
      </c>
      <c r="BU15" s="63" t="s">
        <v>201</v>
      </c>
      <c r="BV15" s="63" t="s">
        <v>202</v>
      </c>
      <c r="BW15" s="3">
        <v>1</v>
      </c>
      <c r="BX15" s="3">
        <v>2</v>
      </c>
      <c r="BY15" s="3">
        <v>3</v>
      </c>
      <c r="BZ15" s="3">
        <v>4</v>
      </c>
      <c r="CA15" s="3">
        <v>5</v>
      </c>
      <c r="CB15" s="3">
        <v>6</v>
      </c>
      <c r="CF15" s="442" t="e">
        <f>ROUND(IF($AW18&gt;=$AW17,$AW18,$AW17)/$AQ19*$AR17,1)+BX19+CM19</f>
        <v>#DIV/0!</v>
      </c>
      <c r="CG15" s="442" t="e">
        <f>ROUND(IF($AW18&gt;=$AW17,$AW18,$AW17)/$AQ19*$AS17,1)+BX19+CN19</f>
        <v>#DIV/0!</v>
      </c>
      <c r="CH15" s="443" t="e">
        <f>+AV15+CF18</f>
        <v>#DIV/0!</v>
      </c>
      <c r="CI15" s="548" t="e">
        <f>+AW15+CG18</f>
        <v>#VALUE!</v>
      </c>
      <c r="CJ15" s="548" t="e">
        <f>+AY15+CF18</f>
        <v>#DIV/0!</v>
      </c>
      <c r="CK15" s="548" t="e">
        <f>+AZ15+CG18</f>
        <v>#VALUE!</v>
      </c>
      <c r="CL15" s="545" t="e">
        <f>MAX(CH15:CK15)</f>
        <v>#DIV/0!</v>
      </c>
      <c r="CM15" s="63" t="s">
        <v>201</v>
      </c>
      <c r="CN15" s="63" t="s">
        <v>202</v>
      </c>
      <c r="CQ15" s="412" t="s">
        <v>1013</v>
      </c>
      <c r="CR15" s="349" t="s">
        <v>1014</v>
      </c>
      <c r="CS15" s="412" t="s">
        <v>1015</v>
      </c>
      <c r="CT15" s="412" t="s">
        <v>1013</v>
      </c>
      <c r="CU15" s="349" t="s">
        <v>1014</v>
      </c>
      <c r="CV15" s="412" t="s">
        <v>1015</v>
      </c>
      <c r="CW15" s="3" t="s">
        <v>1223</v>
      </c>
      <c r="CX15" s="3" t="s">
        <v>1224</v>
      </c>
      <c r="CY15" s="1253">
        <f>IF(AND(R15=0,V19=0),0,IF(S15=0,I$181*$AR$11*X19/100,ROUND(POWER(R15*S15,2)/(L15/10*N15/10),2)))</f>
        <v>0</v>
      </c>
    </row>
    <row r="16" spans="2:103" x14ac:dyDescent="0.15">
      <c r="B16" s="1398"/>
      <c r="C16" s="1400"/>
      <c r="D16" s="330"/>
      <c r="E16" s="1357"/>
      <c r="F16" s="1166"/>
      <c r="G16" s="1028"/>
      <c r="H16" s="1028"/>
      <c r="I16" s="1028"/>
      <c r="J16" s="1028"/>
      <c r="K16" s="1672"/>
      <c r="L16" s="1653"/>
      <c r="M16" s="1285"/>
      <c r="N16" s="1258"/>
      <c r="O16" s="1258"/>
      <c r="P16" s="1297"/>
      <c r="Q16" s="1660"/>
      <c r="R16" s="1270"/>
      <c r="S16" s="1254"/>
      <c r="T16" s="1312"/>
      <c r="U16" s="1254"/>
      <c r="V16" s="1653"/>
      <c r="W16" s="1258"/>
      <c r="X16" s="1258"/>
      <c r="Y16" s="1254"/>
      <c r="Z16" s="1258"/>
      <c r="AA16" s="1258"/>
      <c r="AB16" s="1254"/>
      <c r="AC16" s="414"/>
      <c r="AD16" s="427"/>
      <c r="AE16" s="431"/>
      <c r="AF16" s="429"/>
      <c r="AG16" s="1254"/>
      <c r="AH16" s="1254"/>
      <c r="AI16" s="1256"/>
      <c r="AJ16" s="415">
        <f>+IF(I19=0,0,"1/")</f>
        <v>0</v>
      </c>
      <c r="AK16" s="416">
        <f>IF(I19=0,0,+BD20)</f>
        <v>0</v>
      </c>
      <c r="AL16" s="194"/>
      <c r="AO16" s="515" t="s">
        <v>879</v>
      </c>
      <c r="AP16" s="3">
        <f>ROUND((I16+J16)/2,2)</f>
        <v>0</v>
      </c>
      <c r="AQ16" s="479" t="s">
        <v>877</v>
      </c>
      <c r="AR16" s="632">
        <f>+準備!G57+AV20</f>
        <v>850</v>
      </c>
      <c r="AS16" s="632" t="e">
        <f>+準備!G57+AW20</f>
        <v>#VALUE!</v>
      </c>
      <c r="AT16" s="3">
        <f>+IF(OR(V16=0,V16=1),1,V16)</f>
        <v>1</v>
      </c>
      <c r="AU16" s="69">
        <f>ROUND(ATAN(E15/10)*180/PI(),4)</f>
        <v>0</v>
      </c>
      <c r="AV16" s="63" t="e">
        <f>IF(V16=0.8,VLOOKUP(BC16,$AR$397:$AS$442,2),IF(V16=0.9,VLOOKUP(BC16,$AR$350:$AS$395,2),VLOOKUP(BC16,$AR$303:$AS$348,2)))</f>
        <v>#DIV/0!</v>
      </c>
      <c r="AW16" s="63" t="e">
        <f>IF(V16=0.8,VLOOKUP(BD16,$AT$397:$AU$442,2),IF(V16=0.9,VLOOKUP(BD16,$AT$350:$AU$395,2),VLOOKUP(BD16,$AT$303:$AU$348,2)))</f>
        <v>#VALUE!</v>
      </c>
      <c r="AX16" s="63" t="e">
        <f>IF(V16=0.8,VLOOKUP(BE16,$AT$397:$AU$442,2),IF(V16=0.9,VLOOKUP(BE16,$AT$350:$AU$395,2),VLOOKUP(BE16,$AT$303:$AU$348,2)))</f>
        <v>#VALUE!</v>
      </c>
      <c r="AY16" s="63" t="e">
        <f>IF(V16=0.8,VLOOKUP(BF16,$AR$397:$AS$442,2),IF(V16=0.9,VLOOKUP(BF16,$AR$350:$AS$395,2),VLOOKUP(BF16,$AR$303:$AS$348,2)))</f>
        <v>#DIV/0!</v>
      </c>
      <c r="AZ16" s="63" t="e">
        <f>IF(V16=0.8,VLOOKUP(BG16,$AT$397:$AU$442,2),IF(V16=0.9,VLOOKUP(BG16,$AT$350:$AU$395,2),VLOOKUP(BG16,$AT$303:$AU$348,2)))</f>
        <v>#VALUE!</v>
      </c>
      <c r="BA16" s="63" t="e">
        <f>IF(V16=0.8,VLOOKUP(BH16,$AT$397:$AU$442,2),IF(V16=0.9,VLOOKUP(BH16,$AT$350:$AU$395,2),VLOOKUP(BH16,$AT$303:$AU$348,2)))</f>
        <v>#VALUE!</v>
      </c>
      <c r="BB16" s="155" t="e">
        <f>+MAX(AV16:BA16)</f>
        <v>#DIV/0!</v>
      </c>
      <c r="BC16" s="63" t="e">
        <f>ROUNDUP(BI16/AX20/IF(V16=0,1,V16),1)</f>
        <v>#DIV/0!</v>
      </c>
      <c r="BD16" s="63" t="e">
        <f>ROUNDUP(AR17*AW17*BE17/(9*SQRT(3)*AS19*AQ19*BE20)/AT16,2)</f>
        <v>#VALUE!</v>
      </c>
      <c r="BE16" s="63" t="e">
        <f>ROUNDUP(AR17*AW17*BE17/(9*SQRT(3)*AS19*AQ19*BE20)/AT16,2)</f>
        <v>#VALUE!</v>
      </c>
      <c r="BF16" s="63" t="e">
        <f>ROUNDUP(BL16/AY20/IF(V16=0,1,V16),1)</f>
        <v>#DIV/0!</v>
      </c>
      <c r="BG16" s="63" t="e">
        <f>ROUNDUP(AS17*AW17*BE17/(9*SQRT(3)*AS19*AQ19*BE20)/AT16,2)</f>
        <v>#VALUE!</v>
      </c>
      <c r="BH16" s="63" t="e">
        <f>ROUNDUP(AS17*AW18*BE17/(9*SQRT(3)*AS19*AQ19*BE20)/AT16,2)</f>
        <v>#VALUE!</v>
      </c>
      <c r="BI16" s="63" t="e">
        <f>ROUNDUP(AW17*AW18/AQ19*AR17,1)+BX18+CM18</f>
        <v>#DIV/0!</v>
      </c>
      <c r="BJ16" s="63" t="e">
        <f>+BJ15</f>
        <v>#VALUE!</v>
      </c>
      <c r="BK16" s="63" t="e">
        <f>+BK15</f>
        <v>#VALUE!</v>
      </c>
      <c r="BL16" s="63" t="e">
        <f>+BL15</f>
        <v>#DIV/0!</v>
      </c>
      <c r="BM16" s="63" t="e">
        <f>+BM15</f>
        <v>#VALUE!</v>
      </c>
      <c r="BN16" s="63" t="e">
        <f>+BN15</f>
        <v>#VALUE!</v>
      </c>
      <c r="BO16" s="9" t="e">
        <f>IF(AW18&gt;=AW17,ROUNDUP(AR17*AW18/AQ19/BB20,2),ROUNDUP(AR17*AW17/AQ19/BB20,2))</f>
        <v>#DIV/0!</v>
      </c>
      <c r="BP16" s="9" t="e">
        <f>IF(AW18&gt;=AW17,ROUNDUP(AS17*AW18/AQ19/BC20,2),ROUNDUP(AS17*AW17/AQ19/BC20,2))</f>
        <v>#VALUE!</v>
      </c>
      <c r="BQ16" s="23" t="e">
        <f>IF(BO16&gt;=BP16,BO16,BP16)</f>
        <v>#DIV/0!</v>
      </c>
      <c r="BR16" s="9">
        <f>IF(N16=0,0,ROUNDUP(SQRT(IF(Q16=0,(U16*(N16/10-5)*(N16/10-3)),(U16*(Q16/10-5)*(Q16/10-3)))/(R16*R16)),2))</f>
        <v>0</v>
      </c>
      <c r="BS16" s="63" t="str">
        <f>IF(N15=0,"",ROUND(CF15/(AZ20*T15),2))</f>
        <v/>
      </c>
      <c r="BT16" s="63" t="str">
        <f>IF(N15=0,"",ROUND(CG15/(BA20*T15),1))</f>
        <v/>
      </c>
      <c r="BU16" s="800" t="s">
        <v>269</v>
      </c>
      <c r="BV16" s="800" t="s">
        <v>269</v>
      </c>
      <c r="BW16" s="632">
        <f>+準備!$G$20/100</f>
        <v>4.5</v>
      </c>
      <c r="BX16" s="632">
        <f>+準備!$G$24/100</f>
        <v>11</v>
      </c>
      <c r="BY16" s="632">
        <f>+準備!$G$28/100</f>
        <v>14</v>
      </c>
      <c r="BZ16" s="632">
        <f>+準備!$G$32/100</f>
        <v>17.5</v>
      </c>
      <c r="CA16" s="632">
        <f>+準備!$G$36/100</f>
        <v>17.5</v>
      </c>
      <c r="CB16" s="632">
        <f>+準備!$G$38/100</f>
        <v>4</v>
      </c>
      <c r="CF16" s="548" t="e">
        <f>+IF($AW18&gt;=$AW17,$AW18*$AR17/($K19*100)+BX19,$AW17*$AR17/($K19*100)+BX19+CM19)</f>
        <v>#DIV/0!</v>
      </c>
      <c r="CG16" s="548" t="e">
        <f>+IF($AW18&gt;=$AW17,$AW18*$AS17/($K19*100)+BX19,$AW17*$AS17/($K19*100)+BX19+CN19)</f>
        <v>#VALUE!</v>
      </c>
      <c r="CH16" s="548" t="e">
        <f>+AV16+CF18</f>
        <v>#DIV/0!</v>
      </c>
      <c r="CI16" s="548" t="e">
        <f>+AW16+CG18</f>
        <v>#VALUE!</v>
      </c>
      <c r="CJ16" s="548" t="e">
        <f>+AY16+CF18</f>
        <v>#DIV/0!</v>
      </c>
      <c r="CK16" s="548" t="e">
        <f>+AZ16+CG18</f>
        <v>#VALUE!</v>
      </c>
      <c r="CL16" s="545" t="e">
        <f>MAX(CH16:CK16)</f>
        <v>#DIV/0!</v>
      </c>
      <c r="CM16" s="800" t="s">
        <v>269</v>
      </c>
      <c r="CN16" s="800" t="s">
        <v>269</v>
      </c>
      <c r="CO16" s="3" t="s">
        <v>189</v>
      </c>
      <c r="CQ16" s="3" t="e">
        <f>IF($BX18=0,0,ROUND(($BX18+$CM18)/$CA19,1))</f>
        <v>#N/A</v>
      </c>
      <c r="CR16" s="3" t="e">
        <f>IF($BY19=0,0,ROUND(($BY19+$CO18)/$CC19,2))</f>
        <v>#N/A</v>
      </c>
      <c r="CS16" s="3" t="e">
        <f>IF($BX19=0,0,ROUND(($BX19+$CM19)/$T15,1))</f>
        <v>#N/A</v>
      </c>
      <c r="CT16" s="3" t="e">
        <f>IF($BX18=0,0,ROUND(($BX18+$CN18)/$CA19,1))</f>
        <v>#N/A</v>
      </c>
      <c r="CU16" s="3" t="e">
        <f>IF($BY19=0,0,ROUND(($BY19+$CP18)/$CC19,2))</f>
        <v>#N/A</v>
      </c>
      <c r="CV16" s="3" t="e">
        <f>IF($BX19=0,0,ROUND(($BX19+$CN19)/$T15,1))</f>
        <v>#N/A</v>
      </c>
      <c r="CW16" s="3" t="e">
        <f>ROUND(VLOOKUP(VALUE(RIGHT($K15,4)),許容応力!$B$6:$K$22,9)*1.1/3*100,0)</f>
        <v>#VALUE!</v>
      </c>
      <c r="CX16" s="3" t="e">
        <f>ROUND(VLOOKUP(VALUE(RIGHT($K15,4)),許容応力!$B$6:$K$22,9)*2/3*0.8*100,0)</f>
        <v>#VALUE!</v>
      </c>
      <c r="CY16" s="1272"/>
    </row>
    <row r="17" spans="2:103" x14ac:dyDescent="0.15">
      <c r="B17" s="1398"/>
      <c r="C17" s="1217" t="s">
        <v>980</v>
      </c>
      <c r="D17" s="1403" t="s">
        <v>961</v>
      </c>
      <c r="E17" s="1404"/>
      <c r="F17" s="1407" t="s">
        <v>964</v>
      </c>
      <c r="G17" s="1408"/>
      <c r="H17" s="1239" t="s">
        <v>970</v>
      </c>
      <c r="I17" s="1215" t="s">
        <v>967</v>
      </c>
      <c r="J17" s="1397"/>
      <c r="K17" s="461"/>
      <c r="L17" s="194"/>
      <c r="M17" s="194"/>
      <c r="N17" s="194"/>
      <c r="O17" s="1693"/>
      <c r="P17" s="451"/>
      <c r="Q17" s="878"/>
      <c r="R17" s="1307" t="s">
        <v>1154</v>
      </c>
      <c r="S17" s="1308"/>
      <c r="T17" s="1308"/>
      <c r="U17" s="1308"/>
      <c r="V17" s="1308"/>
      <c r="W17" s="1308"/>
      <c r="X17" s="1621"/>
      <c r="Y17" s="453"/>
      <c r="Z17" s="453"/>
      <c r="AA17" s="453"/>
      <c r="AB17" s="453"/>
      <c r="AC17" s="462"/>
      <c r="AD17" s="452"/>
      <c r="AE17" s="451"/>
      <c r="AF17" s="453"/>
      <c r="AG17" s="452"/>
      <c r="AH17" s="452"/>
      <c r="AI17" s="450"/>
      <c r="AJ17" s="454"/>
      <c r="AK17" s="455"/>
      <c r="AL17" s="194"/>
      <c r="AO17" s="637" t="s">
        <v>958</v>
      </c>
      <c r="AQ17" s="638" t="s">
        <v>994</v>
      </c>
      <c r="AR17" s="3">
        <f>ROUND(AR16*AP15*AP16,0)</f>
        <v>0</v>
      </c>
      <c r="AS17" s="3" t="e">
        <f>ROUND(AS16*AP15*AP16,0)</f>
        <v>#VALUE!</v>
      </c>
      <c r="AT17" s="639" t="e">
        <f>+VALUE(RIGHT(K15,4))</f>
        <v>#VALUE!</v>
      </c>
      <c r="AU17" s="639" t="e">
        <f>+VLOOKUP(VALUE(RIGHT(K15,4)),$G$387:$J$397,3)</f>
        <v>#VALUE!</v>
      </c>
      <c r="AV17" s="377" t="s">
        <v>986</v>
      </c>
      <c r="AW17" s="640">
        <f>+J19*100</f>
        <v>0</v>
      </c>
      <c r="AX17" s="3" t="s">
        <v>988</v>
      </c>
      <c r="AY17" s="3">
        <f>+POWER(AW17,2)</f>
        <v>0</v>
      </c>
      <c r="AZ17" s="3" t="s">
        <v>990</v>
      </c>
      <c r="BA17" s="3">
        <f>+POWER(AQ19,2)</f>
        <v>0</v>
      </c>
      <c r="BB17" s="3" t="s">
        <v>999</v>
      </c>
      <c r="BC17" s="3">
        <f>+BA17-AY17</f>
        <v>0</v>
      </c>
      <c r="BD17" s="3" t="s">
        <v>992</v>
      </c>
      <c r="BE17" s="3">
        <f>SQRT(+POWER(BC17,3))</f>
        <v>0</v>
      </c>
      <c r="BF17" s="52" t="s">
        <v>287</v>
      </c>
      <c r="BG17" s="800" t="s">
        <v>288</v>
      </c>
      <c r="BH17" s="52" t="s">
        <v>490</v>
      </c>
      <c r="BI17" s="52" t="s">
        <v>289</v>
      </c>
      <c r="BJ17" s="800" t="s">
        <v>290</v>
      </c>
      <c r="BK17" s="52" t="s">
        <v>493</v>
      </c>
      <c r="BL17" s="800" t="s">
        <v>291</v>
      </c>
      <c r="BM17" s="800" t="s">
        <v>292</v>
      </c>
      <c r="BN17" s="412" t="s">
        <v>1020</v>
      </c>
      <c r="BO17" s="412" t="s">
        <v>1021</v>
      </c>
      <c r="BS17" s="63" t="str">
        <f>+BS16</f>
        <v/>
      </c>
      <c r="BT17" s="63" t="str">
        <f>+BT16</f>
        <v/>
      </c>
      <c r="BU17" s="87" t="e">
        <f>IF(OR(BR18=0,BR18=1),0,ROUNDUP((準備!$G$60/100+準備!$D$48/100)*((F19+G19)/2*100)/200,2))</f>
        <v>#N/A</v>
      </c>
      <c r="BV17" s="87" t="e">
        <f>+BU17</f>
        <v>#N/A</v>
      </c>
      <c r="BW17" s="3">
        <f t="shared" ref="BW17:CB17" si="1">ROUND(BW16*$I20,2)</f>
        <v>0</v>
      </c>
      <c r="BX17" s="3">
        <f t="shared" si="1"/>
        <v>0</v>
      </c>
      <c r="BY17" s="3">
        <f t="shared" si="1"/>
        <v>0</v>
      </c>
      <c r="BZ17" s="3">
        <f t="shared" si="1"/>
        <v>0</v>
      </c>
      <c r="CA17" s="3">
        <f t="shared" si="1"/>
        <v>0</v>
      </c>
      <c r="CB17" s="3">
        <f t="shared" si="1"/>
        <v>0</v>
      </c>
      <c r="CF17" s="412" t="s">
        <v>1065</v>
      </c>
      <c r="CG17" s="349" t="s">
        <v>1066</v>
      </c>
      <c r="CH17" s="412" t="s">
        <v>1067</v>
      </c>
      <c r="CM17" s="87">
        <f>IF(OR($BR18=0,$BR18=1),0,ROUND((準備!$G$6+$AV20)*$G19/200,2))</f>
        <v>0</v>
      </c>
      <c r="CN17" s="87" t="e">
        <f>IF(OR($BR18=0,$BR18=1),0,ROUND((準備!$G$6+$AW20)*$G19/200,2))</f>
        <v>#VALUE!</v>
      </c>
      <c r="CO17" s="3" t="s">
        <v>168</v>
      </c>
      <c r="CP17" s="3" t="s">
        <v>203</v>
      </c>
      <c r="CQ17" s="412" t="s">
        <v>1065</v>
      </c>
      <c r="CR17" s="349" t="s">
        <v>1066</v>
      </c>
      <c r="CS17" s="412" t="s">
        <v>1067</v>
      </c>
      <c r="CT17" s="412" t="s">
        <v>1065</v>
      </c>
      <c r="CU17" s="349" t="s">
        <v>1066</v>
      </c>
      <c r="CV17" s="412" t="s">
        <v>1067</v>
      </c>
      <c r="CW17" s="3" t="e">
        <f>ROUND($CM$17*K19*100/2/CW16/AG15,2)</f>
        <v>#VALUE!</v>
      </c>
      <c r="CX17" s="3" t="e">
        <f>ROUND(CN17*K19*100/2/CX16/AG15,2)</f>
        <v>#VALUE!</v>
      </c>
    </row>
    <row r="18" spans="2:103" x14ac:dyDescent="0.15">
      <c r="B18" s="1398"/>
      <c r="C18" s="1402"/>
      <c r="D18" s="1405"/>
      <c r="E18" s="1406"/>
      <c r="F18" s="411" t="s">
        <v>971</v>
      </c>
      <c r="G18" s="591" t="s">
        <v>972</v>
      </c>
      <c r="H18" s="1409"/>
      <c r="I18" s="586" t="s">
        <v>981</v>
      </c>
      <c r="J18" s="592" t="s">
        <v>982</v>
      </c>
      <c r="K18" s="440" t="s">
        <v>1068</v>
      </c>
      <c r="L18" s="194"/>
      <c r="M18" s="194"/>
      <c r="N18" s="194"/>
      <c r="O18" s="1694"/>
      <c r="P18" s="1342"/>
      <c r="Q18" s="1406"/>
      <c r="R18" s="440" t="s">
        <v>1265</v>
      </c>
      <c r="S18" s="440" t="s">
        <v>1266</v>
      </c>
      <c r="T18" s="440" t="s">
        <v>1267</v>
      </c>
      <c r="U18" s="440" t="s">
        <v>1260</v>
      </c>
      <c r="V18" s="440" t="s">
        <v>1268</v>
      </c>
      <c r="W18" s="440" t="s">
        <v>1151</v>
      </c>
      <c r="X18" s="440" t="s">
        <v>1153</v>
      </c>
      <c r="Y18" s="324"/>
      <c r="Z18" s="324"/>
      <c r="AA18" s="324"/>
      <c r="AB18" s="324"/>
      <c r="AC18" s="463"/>
      <c r="AD18" s="325"/>
      <c r="AE18" s="302"/>
      <c r="AF18" s="324"/>
      <c r="AG18" s="325"/>
      <c r="AH18" s="325"/>
      <c r="AI18" s="594"/>
      <c r="AJ18" s="420"/>
      <c r="AK18" s="421"/>
      <c r="AL18" s="194"/>
      <c r="AP18" s="3" t="s">
        <v>790</v>
      </c>
      <c r="AQ18" s="3">
        <f>+L15</f>
        <v>0</v>
      </c>
      <c r="AR18" s="3" t="s">
        <v>985</v>
      </c>
      <c r="AS18" s="3">
        <f>+N15</f>
        <v>0</v>
      </c>
      <c r="AT18" s="3" t="s">
        <v>15</v>
      </c>
      <c r="AU18" s="3" t="e">
        <f>+VALUE(RIGHT(K15,4))</f>
        <v>#VALUE!</v>
      </c>
      <c r="AV18" s="377" t="s">
        <v>987</v>
      </c>
      <c r="AW18" s="640">
        <f>+I19*100</f>
        <v>0</v>
      </c>
      <c r="AX18" s="3" t="s">
        <v>989</v>
      </c>
      <c r="AY18" s="3">
        <f>+POWER(AW18,2)</f>
        <v>0</v>
      </c>
      <c r="AZ18" s="409">
        <f>+VALUE(RIGHT($G$10,3))</f>
        <v>2</v>
      </c>
      <c r="BB18" s="3" t="s">
        <v>991</v>
      </c>
      <c r="BC18" s="3">
        <f>+BA17-AY18</f>
        <v>0</v>
      </c>
      <c r="BD18" s="3" t="s">
        <v>993</v>
      </c>
      <c r="BE18" s="3">
        <f>SQRT(+POWER(BC18,3))</f>
        <v>0</v>
      </c>
      <c r="BF18" s="3" t="e">
        <f>ROUND((BI15)/BL18,1)</f>
        <v>#DIV/0!</v>
      </c>
      <c r="BG18" s="3" t="e">
        <f>+IF(AW18&gt;=AW17,BJ15/AU19,BK15/AU19)</f>
        <v>#VALUE!</v>
      </c>
      <c r="BH18" s="63" t="e">
        <f>+CF15/AZ20</f>
        <v>#DIV/0!</v>
      </c>
      <c r="BI18" s="3" t="e">
        <f>ROUND(BL15/BL18,1)</f>
        <v>#DIV/0!</v>
      </c>
      <c r="BJ18" s="3" t="e">
        <f>+IF(AW18&gt;=AW17,BM15/AU19,BN15/AU19)</f>
        <v>#VALUE!</v>
      </c>
      <c r="BK18" s="63" t="e">
        <f>+CG15/BA20</f>
        <v>#DIV/0!</v>
      </c>
      <c r="BL18" s="63">
        <f>ROUNDDOWN(L15/10*POWER(N15/10,2)/6*IF(OR(V15=0,V15=1),1,V15),0)</f>
        <v>0</v>
      </c>
      <c r="BM18" s="63">
        <f>ROUNDDOWN(L15/10*POWER(N15/10,3)/12*IF(OR(V15=0,V15=1),1,V15),0)</f>
        <v>0</v>
      </c>
      <c r="BN18" s="63" t="str">
        <f>IF(N15=0,"",IF(AW18&gt;=AW17,ROUND(AR17*AW18/AQ19/AG15/BB20,2),ROUNDUP(AR17*AW17/AQ19/AG15/BB20,2)))</f>
        <v/>
      </c>
      <c r="BO18" s="63" t="str">
        <f>IF(N15=0,"",IF(AW18&gt;=AW17,ROUND(AS17*AW18/AQ19/AG15/BC20,2),ROUNDUP(AS17*AW17/AQ19/AG15/BC20,2)))</f>
        <v/>
      </c>
      <c r="BQ18" s="3" t="s">
        <v>1012</v>
      </c>
      <c r="BR18" s="3">
        <f>IF(D17=0,0,+VALUE(RIGHT(D17,4)))</f>
        <v>2</v>
      </c>
      <c r="BS18" s="3" t="s">
        <v>1003</v>
      </c>
      <c r="BT18" s="3">
        <f>IF(G20=0,0,+VALUE(RIGHT(G20,4)))</f>
        <v>0</v>
      </c>
      <c r="BU18" s="3">
        <f>IF(OR(BR19=0,BR19=2),0,HLOOKUP(BT18,BW15:CB17,3))</f>
        <v>0</v>
      </c>
      <c r="BV18" s="3">
        <f>+BU18</f>
        <v>0</v>
      </c>
      <c r="BW18" s="3" t="s">
        <v>1019</v>
      </c>
      <c r="BX18" s="3" t="e">
        <f>BU19*POWER(AQ19,2)/8</f>
        <v>#N/A</v>
      </c>
      <c r="BY18" s="3" t="s">
        <v>189</v>
      </c>
      <c r="BZ18" s="3" t="s">
        <v>782</v>
      </c>
      <c r="CA18" s="3" t="e">
        <f>ROUNDUP(+SQRT((BX18+CM18)*6/(AX20*L15/10)),0)</f>
        <v>#N/A</v>
      </c>
      <c r="CF18" s="3" t="e">
        <f>+ROUNDUP(CQ18/3,-1)*3</f>
        <v>#N/A</v>
      </c>
      <c r="CG18" s="3" t="e">
        <f>ROUNDUP(CR18/3,-1)*3</f>
        <v>#N/A</v>
      </c>
      <c r="CH18" s="3" t="e">
        <f>ROUNDUP(CS18/3,-1)*3</f>
        <v>#N/A</v>
      </c>
      <c r="CL18" s="3" t="s">
        <v>1019</v>
      </c>
      <c r="CM18" s="3">
        <f>+CM17*POWER(K19*100,2)/8</f>
        <v>0</v>
      </c>
      <c r="CN18" s="3" t="e">
        <f>+CN17*POWER(K19*100,2)/8</f>
        <v>#VALUE!</v>
      </c>
      <c r="CO18" s="3" t="e">
        <f>5*CM17*POWER(AQ19,4)/(384*AS19)</f>
        <v>#VALUE!</v>
      </c>
      <c r="CP18" s="3" t="e">
        <f>5*CN17*POWER(AQ19,4)/(384*AS19)</f>
        <v>#VALUE!</v>
      </c>
      <c r="CQ18" s="3" t="e">
        <f>+CQ16/AX20</f>
        <v>#N/A</v>
      </c>
      <c r="CR18" s="3" t="e">
        <f>+CR16/BE20</f>
        <v>#N/A</v>
      </c>
      <c r="CS18" s="3" t="e">
        <f>+CS16/AZ20</f>
        <v>#N/A</v>
      </c>
      <c r="CT18" s="3" t="e">
        <f>+CT16/AX20</f>
        <v>#N/A</v>
      </c>
      <c r="CU18" s="3" t="e">
        <f>+CU16/BE20</f>
        <v>#N/A</v>
      </c>
      <c r="CV18" s="3" t="e">
        <f>+CV16/AZ20</f>
        <v>#N/A</v>
      </c>
    </row>
    <row r="19" spans="2:103" x14ac:dyDescent="0.15">
      <c r="B19" s="1398"/>
      <c r="C19" s="1219"/>
      <c r="D19" s="1322"/>
      <c r="E19" s="1211"/>
      <c r="F19" s="1031"/>
      <c r="G19" s="1031"/>
      <c r="H19" s="1410"/>
      <c r="I19" s="1031"/>
      <c r="J19" s="413"/>
      <c r="K19" s="464">
        <f>+I19+J19</f>
        <v>0</v>
      </c>
      <c r="L19" s="194"/>
      <c r="M19" s="194"/>
      <c r="N19" s="194"/>
      <c r="O19" s="194"/>
      <c r="P19" s="1382"/>
      <c r="Q19" s="1406"/>
      <c r="R19" s="1029"/>
      <c r="S19" s="1029"/>
      <c r="T19" s="882">
        <f>+IF(S19=0,0,6)</f>
        <v>0</v>
      </c>
      <c r="U19" s="1029"/>
      <c r="V19" s="1029"/>
      <c r="W19" s="574" t="str">
        <f>+$I$170</f>
        <v/>
      </c>
      <c r="X19" s="574">
        <f>IF(V19=0,0,+VLOOKUP(W19,$I$189:$J$194,2))</f>
        <v>0</v>
      </c>
      <c r="Y19" s="324"/>
      <c r="Z19" s="324"/>
      <c r="AA19" s="324"/>
      <c r="AB19" s="324"/>
      <c r="AC19" s="463"/>
      <c r="AD19" s="325"/>
      <c r="AE19" s="302"/>
      <c r="AF19" s="324"/>
      <c r="AG19" s="325"/>
      <c r="AH19" s="325"/>
      <c r="AI19" s="594"/>
      <c r="AJ19" s="420"/>
      <c r="AK19" s="421"/>
      <c r="AL19" s="194"/>
      <c r="AP19" s="3" t="s">
        <v>983</v>
      </c>
      <c r="AQ19" s="641">
        <f>(+I19+J19)*100</f>
        <v>0</v>
      </c>
      <c r="AR19" s="615" t="s">
        <v>880</v>
      </c>
      <c r="AS19" s="642" t="e">
        <f>+VLOOKUP(VALUE(RIGHT(K15,4)),許容応力!$B$6:$K$22,10)*100</f>
        <v>#VALUE!</v>
      </c>
      <c r="AT19" s="615" t="s">
        <v>881</v>
      </c>
      <c r="AU19" s="520">
        <f>+BM18</f>
        <v>0</v>
      </c>
      <c r="AV19" s="18" t="s">
        <v>209</v>
      </c>
      <c r="AW19" s="18" t="s">
        <v>210</v>
      </c>
      <c r="AX19" s="3" t="s">
        <v>997</v>
      </c>
      <c r="AY19" s="3" t="s">
        <v>294</v>
      </c>
      <c r="AZ19" s="52" t="s">
        <v>498</v>
      </c>
      <c r="BA19" s="52" t="s">
        <v>499</v>
      </c>
      <c r="BB19" s="52" t="s">
        <v>500</v>
      </c>
      <c r="BC19" s="52" t="s">
        <v>501</v>
      </c>
      <c r="BD19" s="800" t="s">
        <v>295</v>
      </c>
      <c r="BE19" s="800" t="s">
        <v>296</v>
      </c>
      <c r="BF19" s="3" t="e">
        <f>ROUND(BI16/BL19,1)</f>
        <v>#DIV/0!</v>
      </c>
      <c r="BG19" s="3" t="e">
        <f>+IF(AW18&gt;=AW17,BJ16/AU20,BK16/AU20)</f>
        <v>#VALUE!</v>
      </c>
      <c r="BH19" s="63" t="e">
        <f>+BH18</f>
        <v>#DIV/0!</v>
      </c>
      <c r="BI19" s="3" t="e">
        <f>ROUND(BL16/BL19,1)</f>
        <v>#DIV/0!</v>
      </c>
      <c r="BJ19" s="3" t="e">
        <f>+IF(AW18&gt;=AW17,BM16/AU20,BN16/AU20)</f>
        <v>#VALUE!</v>
      </c>
      <c r="BK19" s="63" t="e">
        <f>+BK18</f>
        <v>#DIV/0!</v>
      </c>
      <c r="BL19" s="63">
        <f>IF(N16&lt;180,ROUND((N16/10-3)*POWER($N16/10-3,2)/6*IF(V16=0,1,V16),0),ROUND((N16/10-5)*POWER(N16/10-3,2)/6*IF($V16=0,1,$V16),0))</f>
        <v>-5</v>
      </c>
      <c r="BM19" s="63">
        <f>ROUND(IF(N16&lt;180,(N16/10-3)*POWER((N16/10-3),3)/12*IF(V16=0,1,V16),(N16/10-5))*POWER((N16/10-3),3)/12*IF(V16=0,1,V16),0)</f>
        <v>-15</v>
      </c>
      <c r="BN19" s="63" t="str">
        <f>IF(N16=0,"",IF(AW18&gt;=AW17,ROUND(AR17*AW18/AQ19/AG16/BB20,2),ROUNDUP(AR17*AW18/AQ19/AG16/BB20,2)))</f>
        <v/>
      </c>
      <c r="BO19" s="63" t="str">
        <f>IF(N15=0,"",IF(AW18&gt;=AW17,ROUND(AS17*AW18/AQ19/AG16/BC20,2),ROUNDUP(AS17*AW17/AQ19/AG16/BC20,2)))</f>
        <v/>
      </c>
      <c r="BQ19" s="3" t="s">
        <v>1002</v>
      </c>
      <c r="BR19" s="3">
        <f>IF(E20=0,0,+VALUE(RIGHT(E20,4)))</f>
        <v>0</v>
      </c>
      <c r="BT19" s="3" t="s">
        <v>1011</v>
      </c>
      <c r="BU19" s="3" t="e">
        <f>+BU17+BU18</f>
        <v>#N/A</v>
      </c>
      <c r="BV19" s="3" t="e">
        <f>+BV17+BV18</f>
        <v>#N/A</v>
      </c>
      <c r="BW19" s="3" t="s">
        <v>1018</v>
      </c>
      <c r="BX19" s="3" t="e">
        <f>+BU19*AQ19/2</f>
        <v>#N/A</v>
      </c>
      <c r="BY19" s="3" t="e">
        <f>5*BU19*POWER(AQ19,4)/(384*AS19)</f>
        <v>#N/A</v>
      </c>
      <c r="BZ19" s="800" t="s">
        <v>291</v>
      </c>
      <c r="CA19" s="3" t="e">
        <f>ROUND(L15/10*POWER(CA18,2)/6,0)</f>
        <v>#N/A</v>
      </c>
      <c r="CB19" s="800" t="s">
        <v>292</v>
      </c>
      <c r="CC19" s="3" t="e">
        <f>ROUND(L15/10*POWER(CA18,3)/12,0)</f>
        <v>#N/A</v>
      </c>
      <c r="CL19" s="3" t="s">
        <v>1018</v>
      </c>
      <c r="CM19" s="3">
        <f>+CM17*K19*100/2</f>
        <v>0</v>
      </c>
      <c r="CN19" s="3" t="e">
        <f>+CN17*K19*100/2</f>
        <v>#VALUE!</v>
      </c>
    </row>
    <row r="20" spans="2:103" ht="15" thickBot="1" x14ac:dyDescent="0.2">
      <c r="B20" s="1399"/>
      <c r="C20" s="1411" t="s">
        <v>1002</v>
      </c>
      <c r="D20" s="1412"/>
      <c r="E20" s="1150"/>
      <c r="F20" s="465" t="s">
        <v>1003</v>
      </c>
      <c r="G20" s="1136"/>
      <c r="H20" s="459" t="s">
        <v>1004</v>
      </c>
      <c r="I20" s="460"/>
      <c r="J20" s="466"/>
      <c r="K20" s="580"/>
      <c r="L20" s="1275"/>
      <c r="M20" s="1275"/>
      <c r="N20" s="225"/>
      <c r="O20" s="593"/>
      <c r="P20" s="593"/>
      <c r="Q20" s="593"/>
      <c r="R20" s="467"/>
      <c r="S20" s="422"/>
      <c r="T20" s="422"/>
      <c r="U20" s="423"/>
      <c r="V20" s="468"/>
      <c r="W20" s="1017" t="str">
        <f>+$I$169</f>
        <v/>
      </c>
      <c r="X20" s="423"/>
      <c r="Y20" s="423"/>
      <c r="Z20" s="423"/>
      <c r="AA20" s="423"/>
      <c r="AB20" s="423"/>
      <c r="AC20" s="467"/>
      <c r="AD20" s="422"/>
      <c r="AE20" s="225"/>
      <c r="AF20" s="423"/>
      <c r="AG20" s="422"/>
      <c r="AH20" s="422"/>
      <c r="AI20" s="593"/>
      <c r="AJ20" s="424"/>
      <c r="AK20" s="425"/>
      <c r="AL20" s="194"/>
      <c r="AP20" s="515" t="s">
        <v>984</v>
      </c>
      <c r="AQ20" s="3">
        <f>IF(F19=0,1,ROUND((F19+G19)/2,2))</f>
        <v>1</v>
      </c>
      <c r="AT20" s="615" t="s">
        <v>881</v>
      </c>
      <c r="AU20" s="3">
        <f>+BM19</f>
        <v>-15</v>
      </c>
      <c r="AV20" s="63">
        <f>ROUNDUP(IF(VALUE(RIGHT($G$10,3))=1,AW20*0.7,0),0)</f>
        <v>0</v>
      </c>
      <c r="AW20" s="63" t="e">
        <f>ROUNDUP(IF(VALUE(RIGHT($G$10,4))=1,$M$10*30*F15*100,$M$10*20*F15*100),0)</f>
        <v>#VALUE!</v>
      </c>
      <c r="AX20" s="10" t="e">
        <f>IF(AZ18=2,ROUND(VLOOKUP(AU18,許容応力!$B$6:$K$22,7)*1.1/3*100,0),ROUND(VLOOKUP(AU18,許容応力!$B$6:$K$22,7)*1.1/3*1.3*100,0))</f>
        <v>#VALUE!</v>
      </c>
      <c r="AY20" s="63" t="e">
        <f>ROUND(VLOOKUP(AU18,許容応力!$B$6:$K$22,7)*100*2/3*0.8,0)</f>
        <v>#VALUE!</v>
      </c>
      <c r="AZ20" s="10" t="e">
        <f>IF(AZ18=2,ROUND(VLOOKUP(AU18,許容応力!$B$6:$K$22,8)*1.1/3*100,0),ROUND(VLOOKUP(AU18,許容応力!$B$6:$K$22,8)*1.1/3*1.3*100,0))</f>
        <v>#VALUE!</v>
      </c>
      <c r="BA20" s="63" t="e">
        <f>ROUND(VLOOKUP(AU18,許容応力!$B$6:$K$22,8)*100*2/3*0.8,0)</f>
        <v>#VALUE!</v>
      </c>
      <c r="BB20" s="10" t="e">
        <f>IF(AZ18=2,ROUND(VLOOKUP(AU18,許容応力!$B$6:$K$22,9)*1.1/3*100,0),ROUND(VLOOKUP(AU18,許容応力!$B$6:$K$22,9)*1.1/3*1.3*100,0))</f>
        <v>#VALUE!</v>
      </c>
      <c r="BC20" s="63" t="e">
        <f>ROUND(VLOOKUP(AU18,許容応力!$B$6:$K$22,9)*100*2/3*0.8,0)</f>
        <v>#VALUE!</v>
      </c>
      <c r="BD20" s="63">
        <f>IF(AZ18=2,400,200)</f>
        <v>400</v>
      </c>
      <c r="BE20" s="63">
        <f>ROUND(AQ19/BD20,2)</f>
        <v>0</v>
      </c>
    </row>
    <row r="21" spans="2:103" x14ac:dyDescent="0.15">
      <c r="B21" s="1398" t="s">
        <v>1074</v>
      </c>
      <c r="C21" s="1682"/>
      <c r="D21" s="446"/>
      <c r="E21" s="1620"/>
      <c r="F21" s="1675" t="str">
        <f>IF(E21=0,"",ROUND(SQRT(COS(AU22*1.5*PI()/180)),3))</f>
        <v/>
      </c>
      <c r="G21" s="569" t="s">
        <v>962</v>
      </c>
      <c r="H21" s="569" t="s">
        <v>963</v>
      </c>
      <c r="I21" s="569" t="s">
        <v>965</v>
      </c>
      <c r="J21" s="562" t="s">
        <v>966</v>
      </c>
      <c r="K21" s="1653"/>
      <c r="L21" s="1654"/>
      <c r="M21" s="1229">
        <f>+IF(L21=0,0,"×")</f>
        <v>0</v>
      </c>
      <c r="N21" s="1295">
        <f>IF(L21=0,0,BB21)</f>
        <v>0</v>
      </c>
      <c r="O21" s="1296" t="str">
        <f>IF(W21=+"","",IF(AND(W21&lt;=1,X21&lt;=1,Z21&lt;=1,AA21&lt;=1),"OK!","NO!"))</f>
        <v/>
      </c>
      <c r="P21" s="1296">
        <f>IF(T21=0,0,IF(AND(R21=0,V25=0),0,IF(IF(Y21&gt;=AB21,Y21,AB21)&lt;=1,"OK!","NO!")))</f>
        <v>0</v>
      </c>
      <c r="Q21" s="1659"/>
      <c r="R21" s="1269"/>
      <c r="S21" s="1271">
        <f>IF(R21=0,0,+BR21)</f>
        <v>0</v>
      </c>
      <c r="T21" s="1313">
        <f>IF(AND(S25=0,R21=0),0,+IF(AND(VALUE(RIGHT(Q21,4))=2,S25&gt;0),0,IF(AND(VALUE(RIGHT(Q21,4))=1,R21&gt;0),0,CY21)))</f>
        <v>0</v>
      </c>
      <c r="U21" s="1257">
        <f>IF(R21=0,0,IF(BT24&gt;=BK24,BH24,BK24))</f>
        <v>0</v>
      </c>
      <c r="V21" s="1652"/>
      <c r="W21" s="1257" t="str">
        <f>IF(N21=0,"",ROUNDUP(BF24/AX26,2))</f>
        <v/>
      </c>
      <c r="X21" s="1257" t="str">
        <f>IF(N21=0,"",ROUND(BG24/BE26,2))</f>
        <v/>
      </c>
      <c r="Y21" s="1257">
        <f>IF(K21=0,0,IF(AND(R21=0,V25=0),0,IF(R21=0,ROUNDUP(CF21/(AZ26*$J$181*AR11*X25/100),2),+BS22)))</f>
        <v>0</v>
      </c>
      <c r="Z21" s="1257" t="str">
        <f>IF(N21=0,"",ROUNDUP(BI24/AY26,2))</f>
        <v/>
      </c>
      <c r="AA21" s="1257" t="str">
        <f>IF(N21=0,"",ROUNDUP(BJ24/BE26,2))</f>
        <v/>
      </c>
      <c r="AB21" s="1257">
        <f>IF(K21=0,0,IF(AND(R21=0,V25=0),0,IF(R21=0,ROUNDUP(CG21/(BA26*$J$181*AR11*X25/100),2),+BT22)))</f>
        <v>0</v>
      </c>
      <c r="AC21" s="158"/>
      <c r="AD21" s="426"/>
      <c r="AE21" s="444"/>
      <c r="AF21" s="445"/>
      <c r="AG21" s="1253">
        <f>IF(AC21=0,0,ROUND(AC21*AD21+AE21*AF21+AC22*AD22+AE22*AF22,2))</f>
        <v>0</v>
      </c>
      <c r="AH21" s="1253" t="str">
        <f>IF(AD21=0,"",IF(AN21=1,AM21/(AR11*X25),AM21))</f>
        <v/>
      </c>
      <c r="AI21" s="1255" t="str">
        <f>IF(AH21=+"","",IF(AH21&lt;=1,"OK!","NO!"))</f>
        <v/>
      </c>
      <c r="AJ21" s="182">
        <f>+IF(I25=0,0,"1/")</f>
        <v>0</v>
      </c>
      <c r="AK21" s="183">
        <f>IF(I25=0,0,+BD26)</f>
        <v>0</v>
      </c>
      <c r="AL21" s="194"/>
      <c r="AM21" s="3" t="e">
        <f>+IF(BN24&gt;=BO24,BN24+CW23,BO24+CX23)</f>
        <v>#VALUE!</v>
      </c>
      <c r="AN21" s="3">
        <f>IF(P25=0,0,+VALUE(RIGHT(P25,4)))</f>
        <v>0</v>
      </c>
      <c r="AO21" s="515" t="s">
        <v>878</v>
      </c>
      <c r="AP21" s="3">
        <f>ROUND((G22+H22)/2,2)</f>
        <v>0</v>
      </c>
      <c r="AR21" s="349" t="s">
        <v>707</v>
      </c>
      <c r="AS21" s="349" t="s">
        <v>703</v>
      </c>
      <c r="AT21" s="520" t="s">
        <v>241</v>
      </c>
      <c r="AU21" s="17" t="s">
        <v>83</v>
      </c>
      <c r="AV21" s="63" t="e">
        <f t="shared" ref="AV21:BA21" si="2">ROUNDUP(BC21/3,-1)*3</f>
        <v>#DIV/0!</v>
      </c>
      <c r="AW21" s="63" t="e">
        <f t="shared" si="2"/>
        <v>#VALUE!</v>
      </c>
      <c r="AX21" s="63" t="e">
        <f t="shared" si="2"/>
        <v>#VALUE!</v>
      </c>
      <c r="AY21" s="63" t="e">
        <f t="shared" si="2"/>
        <v>#DIV/0!</v>
      </c>
      <c r="AZ21" s="63" t="e">
        <f t="shared" si="2"/>
        <v>#VALUE!</v>
      </c>
      <c r="BA21" s="63" t="e">
        <f t="shared" si="2"/>
        <v>#VALUE!</v>
      </c>
      <c r="BB21" s="155" t="e">
        <f>+MAX(AV21:BA21)</f>
        <v>#DIV/0!</v>
      </c>
      <c r="BC21" s="63" t="e">
        <f>ROUND(SQRT(ROUND(BI21/AX26*6/(L21/10)/IF(V21=0,1,V21),1))*10,0)</f>
        <v>#DIV/0!</v>
      </c>
      <c r="BD21" s="3" t="e">
        <f>POWER(ROUNDUP(BJ21/(L21/10)*12,0)/IF(V21=0,1,V21)/BE26,1/3)*10</f>
        <v>#VALUE!</v>
      </c>
      <c r="BE21" s="3" t="e">
        <f>POWER(ROUND(BK21/(L21/10)*12,0)/IF(V21=0,1,V21)/BE26,1/3)*10</f>
        <v>#VALUE!</v>
      </c>
      <c r="BF21" s="63" t="e">
        <f>ROUND(SQRT(ROUND(BL21/AY26*6/(L21/10)/IF(V21=0,1,V21),1))*10,2)</f>
        <v>#DIV/0!</v>
      </c>
      <c r="BG21" s="3" t="e">
        <f>POWER(ROUND(BM21/(L21/10)*12,0)/IF(V21=0,1,V21)/BE26,1/3)*10</f>
        <v>#VALUE!</v>
      </c>
      <c r="BH21" s="3" t="e">
        <f>POWER(ROUND(BN21/(L21/10)*12,0)/IF(V21=0,1,V21)/BE26,1/3)*10</f>
        <v>#VALUE!</v>
      </c>
      <c r="BI21" s="63" t="e">
        <f>ROUNDUP(AW24*AW23/AQ25*AR23,1)+BX24+CM24</f>
        <v>#DIV/0!</v>
      </c>
      <c r="BJ21" s="63" t="e">
        <f>AR23*AW23*SQRT(POWER(BA23-AY23,3))/(9*SQRT(3)*AS25*(AW23+AW24))+BY25+CO24</f>
        <v>#VALUE!</v>
      </c>
      <c r="BK21" s="63" t="e">
        <f>AR23*AW24*SQRT(POWER(BA23-AY24,3))/(9*SQRT(3)*AS25*(AW23+AW24))+BY25+CO24</f>
        <v>#VALUE!</v>
      </c>
      <c r="BL21" s="63" t="e">
        <f>ROUNDUP(AW24*AW23/AQ25*AS23,1)+BX24+CN24</f>
        <v>#DIV/0!</v>
      </c>
      <c r="BM21" s="63" t="e">
        <f>AS23*AW23*SQRT(POWER(BA23-AY23,3))/(9*SQRT(3)*AS25*(AW23+AW24))+BY25+CO24</f>
        <v>#VALUE!</v>
      </c>
      <c r="BN21" s="63" t="e">
        <f>AS23*AW24*SQRT(POWER(BA23-AY24,3))/(9*SQRT(3)*AS25*(AW23+AW24))+BY25+CP24</f>
        <v>#VALUE!</v>
      </c>
      <c r="BO21" s="9" t="e">
        <f>IF(AW24&gt;=AW23,ROUNDUP(AR23*AW24/AQ25/BB26,2),ROUNDUP(AR23*AW23/AQ25/BB26,2))</f>
        <v>#DIV/0!</v>
      </c>
      <c r="BP21" s="9" t="e">
        <f>IF(AW24&gt;=AW23,ROUNDUP(AS23*AW24/AQ25/BC26,2),ROUNDUP(AS23*AW23/AQ25/BC26,2))</f>
        <v>#VALUE!</v>
      </c>
      <c r="BQ21" s="23" t="e">
        <f>IF(BO21&gt;=BP21,BO21,BP21)</f>
        <v>#DIV/0!</v>
      </c>
      <c r="BR21" s="9">
        <f>IF(N21=0,0,ROUNDUP(SQRT((U21*L21/10*N21/10)/(R21*R21)),2))</f>
        <v>0</v>
      </c>
      <c r="BS21" s="800" t="s">
        <v>473</v>
      </c>
      <c r="BT21" s="63" t="s">
        <v>474</v>
      </c>
      <c r="BU21" s="63" t="s">
        <v>201</v>
      </c>
      <c r="BV21" s="63" t="s">
        <v>202</v>
      </c>
      <c r="BW21" s="3">
        <v>1</v>
      </c>
      <c r="BX21" s="3">
        <v>2</v>
      </c>
      <c r="BY21" s="3">
        <v>3</v>
      </c>
      <c r="BZ21" s="3">
        <v>4</v>
      </c>
      <c r="CA21" s="3">
        <v>5</v>
      </c>
      <c r="CB21" s="3">
        <v>6</v>
      </c>
      <c r="CF21" s="442" t="e">
        <f>ROUND(IF($AW24&gt;=$AW23,$AW24,$AW23)/$AQ25*$AR23,1)+BX25+CM25</f>
        <v>#DIV/0!</v>
      </c>
      <c r="CG21" s="442" t="e">
        <f>ROUND(IF($AW24&gt;=$AW23,$AW24,$AW23)/$AQ25*$AS23,1)+BX25+CN25</f>
        <v>#DIV/0!</v>
      </c>
      <c r="CH21" s="443" t="e">
        <f>+AV21+CF24</f>
        <v>#DIV/0!</v>
      </c>
      <c r="CI21" s="548" t="e">
        <f>+AW21+CG24</f>
        <v>#VALUE!</v>
      </c>
      <c r="CJ21" s="548" t="e">
        <f>+AY21+CF24</f>
        <v>#DIV/0!</v>
      </c>
      <c r="CK21" s="548" t="e">
        <f>+AZ21+CG24</f>
        <v>#VALUE!</v>
      </c>
      <c r="CL21" s="545" t="e">
        <f>MAX(CH21:CK21)</f>
        <v>#DIV/0!</v>
      </c>
      <c r="CM21" s="63" t="s">
        <v>201</v>
      </c>
      <c r="CN21" s="63" t="s">
        <v>202</v>
      </c>
      <c r="CQ21" s="412" t="s">
        <v>1013</v>
      </c>
      <c r="CR21" s="349" t="s">
        <v>1014</v>
      </c>
      <c r="CS21" s="412" t="s">
        <v>1015</v>
      </c>
      <c r="CT21" s="412" t="s">
        <v>1013</v>
      </c>
      <c r="CU21" s="349" t="s">
        <v>1014</v>
      </c>
      <c r="CV21" s="412" t="s">
        <v>1015</v>
      </c>
      <c r="CW21" s="3" t="s">
        <v>1223</v>
      </c>
      <c r="CX21" s="3" t="s">
        <v>1224</v>
      </c>
      <c r="CY21" s="1253">
        <f>IF(AND(R21=0,V25=0),0,IF(S21=0,J$181*AR11*X25/100,ROUND(POWER(R21*S21,2)/(L21/10*N21/10),2)))</f>
        <v>0</v>
      </c>
    </row>
    <row r="22" spans="2:103" x14ac:dyDescent="0.15">
      <c r="B22" s="1398"/>
      <c r="C22" s="1400"/>
      <c r="D22" s="330"/>
      <c r="E22" s="1357"/>
      <c r="F22" s="1166"/>
      <c r="G22" s="1028"/>
      <c r="H22" s="1028"/>
      <c r="I22" s="1028"/>
      <c r="J22" s="448"/>
      <c r="K22" s="1672"/>
      <c r="L22" s="1653"/>
      <c r="M22" s="1285"/>
      <c r="N22" s="1258"/>
      <c r="O22" s="1258"/>
      <c r="P22" s="1297"/>
      <c r="Q22" s="1660"/>
      <c r="R22" s="1507"/>
      <c r="S22" s="1312"/>
      <c r="T22" s="1312"/>
      <c r="U22" s="1254"/>
      <c r="V22" s="1653"/>
      <c r="W22" s="1258"/>
      <c r="X22" s="1258"/>
      <c r="Y22" s="1254"/>
      <c r="Z22" s="1258"/>
      <c r="AA22" s="1258"/>
      <c r="AB22" s="1254"/>
      <c r="AC22" s="414"/>
      <c r="AD22" s="427"/>
      <c r="AE22" s="431"/>
      <c r="AF22" s="429"/>
      <c r="AG22" s="1254"/>
      <c r="AH22" s="1254"/>
      <c r="AI22" s="1256"/>
      <c r="AJ22" s="415">
        <f>+IF(I25=0,0,"1/")</f>
        <v>0</v>
      </c>
      <c r="AK22" s="416">
        <f>IF(I25=0,0,+BD26)</f>
        <v>0</v>
      </c>
      <c r="AL22" s="194"/>
      <c r="AO22" s="515" t="s">
        <v>879</v>
      </c>
      <c r="AP22" s="3">
        <f>ROUND((I22+J22)/2,2)</f>
        <v>0</v>
      </c>
      <c r="AQ22" s="479" t="s">
        <v>877</v>
      </c>
      <c r="AR22" s="632">
        <f>+準備!G57+AV26</f>
        <v>850</v>
      </c>
      <c r="AS22" s="632" t="e">
        <f>+準備!G57+AW26</f>
        <v>#VALUE!</v>
      </c>
      <c r="AT22" s="3">
        <f>+IF(OR(V22=0,V22=1),1,V22)</f>
        <v>1</v>
      </c>
      <c r="AU22" s="69">
        <f>ROUND(ATAN(E21/10)*180/PI(),4)</f>
        <v>0</v>
      </c>
      <c r="AV22" s="63" t="e">
        <f>IF(V22=0.8,VLOOKUP(BC22,$AR$397:$AS$442,2),IF(V22=0.9,VLOOKUP(BC22,$AR$350:$AS$395,2),VLOOKUP(BC22,$AR$303:$AS$348,2)))</f>
        <v>#DIV/0!</v>
      </c>
      <c r="AW22" s="63" t="e">
        <f>IF(V22=0.8,VLOOKUP(BD22,$AT$397:$AU$442,2),IF(V22=0.9,VLOOKUP(BD22,$AT$350:$AU$395,2),VLOOKUP(BD22,$AT$303:$AU$348,2)))</f>
        <v>#VALUE!</v>
      </c>
      <c r="AX22" s="63" t="e">
        <f>IF(V22=0.8,VLOOKUP(BE22,$AT$397:$AU$442,2),IF(V22=0.9,VLOOKUP(BE22,$AT$350:$AU$395,2),VLOOKUP(BE22,$AT$303:$AU$348,2)))</f>
        <v>#VALUE!</v>
      </c>
      <c r="AY22" s="63" t="e">
        <f>IF(V22=0.8,VLOOKUP(BF22,$AR$397:$AS$442,2),IF(V22=0.9,VLOOKUP(BF22,$AR$350:$AS$395,2),VLOOKUP(BF22,$AR$303:$AS$348,2)))</f>
        <v>#DIV/0!</v>
      </c>
      <c r="AZ22" s="63" t="e">
        <f>IF(V22=0.8,VLOOKUP(BG22,$AT$397:$AU$442,2),IF(V22=0.9,VLOOKUP(BG22,$AT$350:$AU$395,2),VLOOKUP(BG22,$AT$303:$AU$348,2)))</f>
        <v>#VALUE!</v>
      </c>
      <c r="BA22" s="63" t="e">
        <f>IF(V22=0.8,VLOOKUP(BH22,$AT$397:$AU$442,2),IF(V22=0.9,VLOOKUP(BH22,$AT$350:$AU$395,2),VLOOKUP(BH22,$AT$303:$AU$348,2)))</f>
        <v>#VALUE!</v>
      </c>
      <c r="BB22" s="155" t="e">
        <f>+MAX(AV22:BA22)</f>
        <v>#DIV/0!</v>
      </c>
      <c r="BC22" s="63" t="e">
        <f>ROUNDUP(BI22/AX26/IF(V22=0,1,V22),1)</f>
        <v>#DIV/0!</v>
      </c>
      <c r="BD22" s="63" t="e">
        <f>ROUNDUP(AR23*AW23*BE23/(9*SQRT(3)*AS25*AQ25*BE26)/AT22,2)</f>
        <v>#VALUE!</v>
      </c>
      <c r="BE22" s="63" t="e">
        <f>ROUNDUP(AR23*AW23*BE23/(9*SQRT(3)*AS25*AQ25*BE26)/AT22,2)</f>
        <v>#VALUE!</v>
      </c>
      <c r="BF22" s="63" t="e">
        <f>ROUNDUP(BL22/AY26/IF(V22=0,1,V22),1)</f>
        <v>#DIV/0!</v>
      </c>
      <c r="BG22" s="63" t="e">
        <f>ROUNDUP(AS23*AW23*BE23/(9*SQRT(3)*AS25*AQ25*BE26)/AT22,2)</f>
        <v>#VALUE!</v>
      </c>
      <c r="BH22" s="63" t="e">
        <f>ROUNDUP(AS23*AW24*BE23/(9*SQRT(3)*AS25*AQ25*BE26)/AT22,2)</f>
        <v>#VALUE!</v>
      </c>
      <c r="BI22" s="63" t="e">
        <f>ROUNDUP(AW23*AW24/AQ25*AR23,1)+BX24+CM24</f>
        <v>#DIV/0!</v>
      </c>
      <c r="BJ22" s="63" t="e">
        <f>+BJ21</f>
        <v>#VALUE!</v>
      </c>
      <c r="BK22" s="63" t="e">
        <f>+BK21</f>
        <v>#VALUE!</v>
      </c>
      <c r="BL22" s="63" t="e">
        <f>+BL21</f>
        <v>#DIV/0!</v>
      </c>
      <c r="BM22" s="63" t="e">
        <f>+BM21</f>
        <v>#VALUE!</v>
      </c>
      <c r="BN22" s="63" t="e">
        <f>+BN21</f>
        <v>#VALUE!</v>
      </c>
      <c r="BO22" s="9" t="e">
        <f>IF(AW24&gt;=AW23,ROUNDUP(AR23*AW24/AQ25/BB26,2),ROUNDUP(AR23*AW23/AQ25/BB26,2))</f>
        <v>#DIV/0!</v>
      </c>
      <c r="BP22" s="9" t="e">
        <f>IF(AW24&gt;=AW23,ROUNDUP(AS23*AW24/AQ25/BC26,2),ROUNDUP(AS23*AW23/AQ25/BC26,2))</f>
        <v>#VALUE!</v>
      </c>
      <c r="BQ22" s="23" t="e">
        <f>IF(BO22&gt;=BP22,BO22,BP22)</f>
        <v>#DIV/0!</v>
      </c>
      <c r="BR22" s="9">
        <f>IF(N22=0,0,ROUNDUP(SQRT(IF(Q22=0,(U22*(N22/10-5)*(N22/10-3)),(U22*(Q22/10-5)*(Q22/10-3)))/(R22*R22)),2))</f>
        <v>0</v>
      </c>
      <c r="BS22" s="63" t="str">
        <f>IF(N21=0,"",ROUND(CF21/(AZ26*T21),2))</f>
        <v/>
      </c>
      <c r="BT22" s="63" t="str">
        <f>IF(N21=0,"",ROUND(CG21/(BA26*T21),1))</f>
        <v/>
      </c>
      <c r="BU22" s="800" t="s">
        <v>269</v>
      </c>
      <c r="BV22" s="800" t="s">
        <v>269</v>
      </c>
      <c r="BW22" s="632">
        <f>+準備!$G$20/100</f>
        <v>4.5</v>
      </c>
      <c r="BX22" s="632">
        <f>+準備!$G$24/100</f>
        <v>11</v>
      </c>
      <c r="BY22" s="632">
        <f>+準備!$G$28/100</f>
        <v>14</v>
      </c>
      <c r="BZ22" s="632">
        <f>+準備!$G$32/100</f>
        <v>17.5</v>
      </c>
      <c r="CA22" s="632">
        <f>+準備!$G$36/100</f>
        <v>17.5</v>
      </c>
      <c r="CB22" s="632">
        <f>+準備!$G$38/100</f>
        <v>4</v>
      </c>
      <c r="CF22" s="548" t="e">
        <f>+IF($AW24&gt;=$AW23,$AW24*$AR23/($K25*100)+BX25,$AW23*$AR23/($K25*100)+BX25+CM25)</f>
        <v>#DIV/0!</v>
      </c>
      <c r="CG22" s="548" t="e">
        <f>+IF($AW24&gt;=$AW23,$AW24*$AS23/($K25*100)+BX25,$AW23*$AS23/($K25*100)+BX25+CN25)</f>
        <v>#VALUE!</v>
      </c>
      <c r="CH22" s="548" t="e">
        <f>+AV22+CF24</f>
        <v>#DIV/0!</v>
      </c>
      <c r="CI22" s="548" t="e">
        <f>+AW22+CG24</f>
        <v>#VALUE!</v>
      </c>
      <c r="CJ22" s="548" t="e">
        <f>+AY22+CF24</f>
        <v>#DIV/0!</v>
      </c>
      <c r="CK22" s="548" t="e">
        <f>+AZ22+CG24</f>
        <v>#VALUE!</v>
      </c>
      <c r="CL22" s="545" t="e">
        <f>MAX(CH22:CK22)</f>
        <v>#DIV/0!</v>
      </c>
      <c r="CM22" s="800" t="s">
        <v>269</v>
      </c>
      <c r="CN22" s="800" t="s">
        <v>269</v>
      </c>
      <c r="CO22" s="3" t="s">
        <v>189</v>
      </c>
      <c r="CQ22" s="3" t="e">
        <f>IF($BX24=0,0,ROUND(($BX24+$CM24)/$CA25,1))</f>
        <v>#N/A</v>
      </c>
      <c r="CR22" s="3" t="e">
        <f>IF($BY25=0,0,ROUND(($BY25+$CO24)/$CC25,2))</f>
        <v>#N/A</v>
      </c>
      <c r="CS22" s="3" t="e">
        <f>IF($BX25=0,0,ROUND(($BX25+$CM25)/$T21,1))</f>
        <v>#N/A</v>
      </c>
      <c r="CT22" s="3" t="e">
        <f>IF($BX24=0,0,ROUND(($BX24+$CN24)/$CA25,1))</f>
        <v>#N/A</v>
      </c>
      <c r="CU22" s="3" t="e">
        <f>IF($BY25=0,0,ROUND(($BY25+$CP24)/$CC25,2))</f>
        <v>#N/A</v>
      </c>
      <c r="CV22" s="3" t="e">
        <f>IF($BX25=0,0,ROUND(($BX25+$CN25)/$T21,1))</f>
        <v>#N/A</v>
      </c>
      <c r="CW22" s="3" t="e">
        <f>ROUND(VLOOKUP(VALUE(RIGHT($K21,4)),許容応力!$B$6:$K$22,9)*1.1/3*100,0)</f>
        <v>#VALUE!</v>
      </c>
      <c r="CX22" s="3" t="e">
        <f>ROUND(VLOOKUP(VALUE(RIGHT($K21,4)),許容応力!$B$6:$K$22,9)*2/3*0.8*100,0)</f>
        <v>#VALUE!</v>
      </c>
      <c r="CY22" s="1272"/>
    </row>
    <row r="23" spans="2:103" x14ac:dyDescent="0.15">
      <c r="B23" s="1398"/>
      <c r="C23" s="1217" t="s">
        <v>980</v>
      </c>
      <c r="D23" s="1403" t="s">
        <v>961</v>
      </c>
      <c r="E23" s="1404"/>
      <c r="F23" s="1407" t="s">
        <v>964</v>
      </c>
      <c r="G23" s="1408"/>
      <c r="H23" s="1239" t="s">
        <v>970</v>
      </c>
      <c r="I23" s="1215" t="s">
        <v>967</v>
      </c>
      <c r="J23" s="1397"/>
      <c r="K23" s="461"/>
      <c r="L23" s="451"/>
      <c r="M23" s="450"/>
      <c r="N23" s="451"/>
      <c r="O23" s="450"/>
      <c r="P23" s="451"/>
      <c r="Q23" s="878"/>
      <c r="R23" s="1307" t="s">
        <v>1154</v>
      </c>
      <c r="S23" s="1308"/>
      <c r="T23" s="1308"/>
      <c r="U23" s="1308"/>
      <c r="V23" s="1308"/>
      <c r="W23" s="1308"/>
      <c r="X23" s="1621"/>
      <c r="Y23" s="453"/>
      <c r="Z23" s="453"/>
      <c r="AA23" s="453"/>
      <c r="AB23" s="453"/>
      <c r="AC23" s="462"/>
      <c r="AD23" s="452"/>
      <c r="AE23" s="451"/>
      <c r="AF23" s="453"/>
      <c r="AG23" s="452"/>
      <c r="AH23" s="452"/>
      <c r="AI23" s="450"/>
      <c r="AJ23" s="454"/>
      <c r="AK23" s="455"/>
      <c r="AL23" s="194"/>
      <c r="AO23" s="637" t="s">
        <v>958</v>
      </c>
      <c r="AQ23" s="638" t="s">
        <v>994</v>
      </c>
      <c r="AR23" s="3">
        <f>ROUND(AR22*AP21*AP22,0)</f>
        <v>0</v>
      </c>
      <c r="AS23" s="3" t="e">
        <f>ROUND(AS22*AP21*AP22,0)</f>
        <v>#VALUE!</v>
      </c>
      <c r="AT23" s="639" t="e">
        <f>+VALUE(RIGHT(K21,4))</f>
        <v>#VALUE!</v>
      </c>
      <c r="AU23" s="639" t="e">
        <f>+VLOOKUP(VALUE(RIGHT(K21,4)),$G$387:$J$397,3)</f>
        <v>#VALUE!</v>
      </c>
      <c r="AV23" s="377" t="s">
        <v>986</v>
      </c>
      <c r="AW23" s="640">
        <f>+J25*100</f>
        <v>0</v>
      </c>
      <c r="AX23" s="3" t="s">
        <v>988</v>
      </c>
      <c r="AY23" s="3">
        <f>+POWER(AW23,2)</f>
        <v>0</v>
      </c>
      <c r="AZ23" s="3" t="s">
        <v>990</v>
      </c>
      <c r="BA23" s="3">
        <f>+POWER(AQ25,2)</f>
        <v>0</v>
      </c>
      <c r="BB23" s="3" t="s">
        <v>999</v>
      </c>
      <c r="BC23" s="3">
        <f>+BA23-AY23</f>
        <v>0</v>
      </c>
      <c r="BD23" s="3" t="s">
        <v>992</v>
      </c>
      <c r="BE23" s="3">
        <f>SQRT(+POWER(BC23,3))</f>
        <v>0</v>
      </c>
      <c r="BF23" s="52" t="s">
        <v>287</v>
      </c>
      <c r="BG23" s="800" t="s">
        <v>288</v>
      </c>
      <c r="BH23" s="52" t="s">
        <v>490</v>
      </c>
      <c r="BI23" s="52" t="s">
        <v>289</v>
      </c>
      <c r="BJ23" s="800" t="s">
        <v>290</v>
      </c>
      <c r="BK23" s="52" t="s">
        <v>493</v>
      </c>
      <c r="BL23" s="800" t="s">
        <v>291</v>
      </c>
      <c r="BM23" s="800" t="s">
        <v>292</v>
      </c>
      <c r="BN23" s="412" t="s">
        <v>1020</v>
      </c>
      <c r="BO23" s="412" t="s">
        <v>1021</v>
      </c>
      <c r="BS23" s="63" t="str">
        <f>+BS22</f>
        <v/>
      </c>
      <c r="BT23" s="63" t="str">
        <f>+BT22</f>
        <v/>
      </c>
      <c r="BU23" s="87" t="e">
        <f>IF(OR(BR24=0,BR24=1),0,ROUNDUP((準備!$G$60/100+準備!$D$48/100)*((F25+G25)/2*100)/200,2))</f>
        <v>#N/A</v>
      </c>
      <c r="BV23" s="87" t="e">
        <f>+BU23</f>
        <v>#N/A</v>
      </c>
      <c r="BW23" s="3">
        <f t="shared" ref="BW23:CB23" si="3">ROUND(BW22*$I26,2)</f>
        <v>0</v>
      </c>
      <c r="BX23" s="3">
        <f t="shared" si="3"/>
        <v>0</v>
      </c>
      <c r="BY23" s="3">
        <f t="shared" si="3"/>
        <v>0</v>
      </c>
      <c r="BZ23" s="3">
        <f t="shared" si="3"/>
        <v>0</v>
      </c>
      <c r="CA23" s="3">
        <f t="shared" si="3"/>
        <v>0</v>
      </c>
      <c r="CB23" s="3">
        <f t="shared" si="3"/>
        <v>0</v>
      </c>
      <c r="CF23" s="412" t="s">
        <v>1065</v>
      </c>
      <c r="CG23" s="349" t="s">
        <v>1066</v>
      </c>
      <c r="CH23" s="412" t="s">
        <v>1067</v>
      </c>
      <c r="CM23" s="87">
        <f>IF(OR($BR24=0,$BR24=1),0,ROUND((準備!$G$6+$AV26)*$G25/200,2))</f>
        <v>0</v>
      </c>
      <c r="CN23" s="87" t="e">
        <f>IF(OR($BR24=0,$BR24=1),0,ROUND((準備!$G$6+$AW26)*$G25/200,2))</f>
        <v>#VALUE!</v>
      </c>
      <c r="CO23" s="3" t="s">
        <v>168</v>
      </c>
      <c r="CP23" s="3" t="s">
        <v>203</v>
      </c>
      <c r="CQ23" s="412" t="s">
        <v>1065</v>
      </c>
      <c r="CR23" s="349" t="s">
        <v>1066</v>
      </c>
      <c r="CS23" s="412" t="s">
        <v>1067</v>
      </c>
      <c r="CT23" s="412" t="s">
        <v>1065</v>
      </c>
      <c r="CU23" s="349" t="s">
        <v>1066</v>
      </c>
      <c r="CV23" s="412" t="s">
        <v>1067</v>
      </c>
      <c r="CW23" s="3" t="e">
        <f>ROUND($CM$17*K25*100/2/CW22/AG21,2)</f>
        <v>#VALUE!</v>
      </c>
      <c r="CX23" s="3" t="e">
        <f>ROUND(CN23*K25*100/2/CX22/AG21,2)</f>
        <v>#VALUE!</v>
      </c>
    </row>
    <row r="24" spans="2:103" x14ac:dyDescent="0.15">
      <c r="B24" s="1398"/>
      <c r="C24" s="1402"/>
      <c r="D24" s="1405"/>
      <c r="E24" s="1406"/>
      <c r="F24" s="411" t="s">
        <v>971</v>
      </c>
      <c r="G24" s="591" t="s">
        <v>972</v>
      </c>
      <c r="H24" s="1409"/>
      <c r="I24" s="586" t="s">
        <v>981</v>
      </c>
      <c r="J24" s="592" t="s">
        <v>982</v>
      </c>
      <c r="K24" s="440" t="s">
        <v>1011</v>
      </c>
      <c r="L24" s="1342"/>
      <c r="M24" s="1342"/>
      <c r="N24" s="302"/>
      <c r="O24" s="594"/>
      <c r="P24" s="1342"/>
      <c r="Q24" s="1406"/>
      <c r="R24" s="877" t="s">
        <v>1265</v>
      </c>
      <c r="S24" s="877" t="s">
        <v>1266</v>
      </c>
      <c r="T24" s="877" t="s">
        <v>1267</v>
      </c>
      <c r="U24" s="877" t="s">
        <v>1260</v>
      </c>
      <c r="V24" s="877" t="s">
        <v>1268</v>
      </c>
      <c r="W24" s="440" t="s">
        <v>1151</v>
      </c>
      <c r="X24" s="440" t="s">
        <v>1153</v>
      </c>
      <c r="Y24" s="324"/>
      <c r="Z24" s="324"/>
      <c r="AA24" s="324"/>
      <c r="AB24" s="324"/>
      <c r="AC24" s="463"/>
      <c r="AD24" s="325"/>
      <c r="AE24" s="302"/>
      <c r="AF24" s="324"/>
      <c r="AG24" s="325"/>
      <c r="AH24" s="325"/>
      <c r="AI24" s="594"/>
      <c r="AJ24" s="420"/>
      <c r="AK24" s="421"/>
      <c r="AL24" s="194"/>
      <c r="AP24" s="3" t="s">
        <v>790</v>
      </c>
      <c r="AQ24" s="3">
        <f>+L21</f>
        <v>0</v>
      </c>
      <c r="AR24" s="3" t="s">
        <v>985</v>
      </c>
      <c r="AS24" s="3">
        <f>+N21</f>
        <v>0</v>
      </c>
      <c r="AT24" s="3" t="s">
        <v>15</v>
      </c>
      <c r="AU24" s="3" t="e">
        <f>+VALUE(RIGHT(K21,4))</f>
        <v>#VALUE!</v>
      </c>
      <c r="AV24" s="377" t="s">
        <v>987</v>
      </c>
      <c r="AW24" s="640">
        <f>+I25*100</f>
        <v>0</v>
      </c>
      <c r="AX24" s="3" t="s">
        <v>989</v>
      </c>
      <c r="AY24" s="3">
        <f>+POWER(AW24,2)</f>
        <v>0</v>
      </c>
      <c r="AZ24" s="409">
        <f>+VALUE(RIGHT($G$10,3))</f>
        <v>2</v>
      </c>
      <c r="BB24" s="3" t="s">
        <v>991</v>
      </c>
      <c r="BC24" s="3">
        <f>+BA23-AY24</f>
        <v>0</v>
      </c>
      <c r="BD24" s="3" t="s">
        <v>993</v>
      </c>
      <c r="BE24" s="3">
        <f>SQRT(+POWER(BC24,3))</f>
        <v>0</v>
      </c>
      <c r="BF24" s="3" t="e">
        <f>ROUND((BI21)/BL24,1)</f>
        <v>#DIV/0!</v>
      </c>
      <c r="BG24" s="3" t="e">
        <f>+IF(AW24&gt;=AW23,BJ21/AU25,BK21/AU25)</f>
        <v>#VALUE!</v>
      </c>
      <c r="BH24" s="63" t="e">
        <f>+CF21/AZ26</f>
        <v>#DIV/0!</v>
      </c>
      <c r="BI24" s="3" t="e">
        <f>ROUND(BL21/BL24,1)</f>
        <v>#DIV/0!</v>
      </c>
      <c r="BJ24" s="3" t="e">
        <f>+IF(AW24&gt;=AW23,BM21/AU25,BN21/AU25)</f>
        <v>#VALUE!</v>
      </c>
      <c r="BK24" s="63" t="e">
        <f>+CG21/BA26</f>
        <v>#DIV/0!</v>
      </c>
      <c r="BL24" s="63">
        <f>ROUNDDOWN(L21/10*POWER(N21/10,2)/6*IF(OR(V21=0,V21=1),1,V21),0)</f>
        <v>0</v>
      </c>
      <c r="BM24" s="63">
        <f>ROUNDDOWN(L21/10*POWER(N21/10,3)/12*IF(OR(V21=0,V21=1),1,V21),0)</f>
        <v>0</v>
      </c>
      <c r="BN24" s="63" t="str">
        <f>IF(N21=0,"",IF(AW24&gt;=AW23,ROUND(AR23*AW24/AQ25/AG21/BB26,2),ROUNDUP(AR23*AW23/AQ25/AG21/BB26,2)))</f>
        <v/>
      </c>
      <c r="BO24" s="63" t="str">
        <f>IF(N21=0,"",IF(AW24&gt;=AW23,ROUND(AS23*AW24/AQ25/AG21/BC26,2),ROUNDUP(AS23*AW23/AQ25/AG21/BC26,2)))</f>
        <v/>
      </c>
      <c r="BQ24" s="3" t="s">
        <v>1012</v>
      </c>
      <c r="BR24" s="3">
        <f>IF(D23=0,0,+VALUE(RIGHT(D23,4)))</f>
        <v>2</v>
      </c>
      <c r="BS24" s="3" t="s">
        <v>1003</v>
      </c>
      <c r="BT24" s="3">
        <f>IF(G26=0,0,+VALUE(RIGHT(G26,4)))</f>
        <v>0</v>
      </c>
      <c r="BU24" s="3">
        <f>IF(OR(BR25=0,BR25=2),0,HLOOKUP(BT24,BW21:CB23,3))</f>
        <v>0</v>
      </c>
      <c r="BV24" s="3">
        <f>+BU24</f>
        <v>0</v>
      </c>
      <c r="BW24" s="3" t="s">
        <v>1019</v>
      </c>
      <c r="BX24" s="3" t="e">
        <f>BU25*POWER(AQ25,2)/8</f>
        <v>#N/A</v>
      </c>
      <c r="BY24" s="3" t="s">
        <v>189</v>
      </c>
      <c r="BZ24" s="3" t="s">
        <v>782</v>
      </c>
      <c r="CA24" s="3" t="e">
        <f>ROUNDUP(+SQRT((BX24+CM24)*6/(AX26*L21/10)),0)</f>
        <v>#N/A</v>
      </c>
      <c r="CF24" s="3" t="e">
        <f>+ROUNDUP(CQ24/3,-1)*3</f>
        <v>#N/A</v>
      </c>
      <c r="CG24" s="3" t="e">
        <f>ROUNDUP(CR24/3,-1)*3</f>
        <v>#N/A</v>
      </c>
      <c r="CH24" s="3" t="e">
        <f>ROUNDUP(CS24/3,-1)*3</f>
        <v>#N/A</v>
      </c>
      <c r="CL24" s="3" t="s">
        <v>1019</v>
      </c>
      <c r="CM24" s="3">
        <f>+CM23*POWER(K25*100,2)/8</f>
        <v>0</v>
      </c>
      <c r="CN24" s="3" t="e">
        <f>+CN23*POWER(K25*100,2)/8</f>
        <v>#VALUE!</v>
      </c>
      <c r="CO24" s="3" t="e">
        <f>5*CM23*POWER(AQ25,4)/(384*AS25)</f>
        <v>#VALUE!</v>
      </c>
      <c r="CP24" s="3" t="e">
        <f>5*CN23*POWER(AQ25,4)/(384*AS25)</f>
        <v>#VALUE!</v>
      </c>
      <c r="CQ24" s="3" t="e">
        <f>+CQ22/AX26</f>
        <v>#N/A</v>
      </c>
      <c r="CR24" s="3" t="e">
        <f>+CR22/BE26</f>
        <v>#N/A</v>
      </c>
      <c r="CS24" s="3" t="e">
        <f>+CS22/AZ26</f>
        <v>#N/A</v>
      </c>
      <c r="CT24" s="3" t="e">
        <f>+CT22/AX26</f>
        <v>#N/A</v>
      </c>
      <c r="CU24" s="3" t="e">
        <f>+CU22/BE26</f>
        <v>#N/A</v>
      </c>
      <c r="CV24" s="3" t="e">
        <f>+CV22/AZ26</f>
        <v>#N/A</v>
      </c>
    </row>
    <row r="25" spans="2:103" x14ac:dyDescent="0.15">
      <c r="B25" s="1398"/>
      <c r="C25" s="1219"/>
      <c r="D25" s="1322"/>
      <c r="E25" s="1211"/>
      <c r="F25" s="1031"/>
      <c r="G25" s="1031"/>
      <c r="H25" s="1410"/>
      <c r="I25" s="1031"/>
      <c r="J25" s="413"/>
      <c r="K25" s="464">
        <f>+I25+J25</f>
        <v>0</v>
      </c>
      <c r="L25" s="302"/>
      <c r="M25" s="594"/>
      <c r="N25" s="302"/>
      <c r="O25" s="594"/>
      <c r="P25" s="1382"/>
      <c r="Q25" s="1406"/>
      <c r="R25" s="1029"/>
      <c r="S25" s="1029"/>
      <c r="T25" s="882">
        <f>+IF(S25=0,0,6)</f>
        <v>0</v>
      </c>
      <c r="U25" s="1029"/>
      <c r="V25" s="1029"/>
      <c r="W25" s="574" t="str">
        <f>+$J$170</f>
        <v/>
      </c>
      <c r="X25" s="574">
        <f>IF(V25=0,0,+VLOOKUP(W25,$I$189:$J$194,2))</f>
        <v>0</v>
      </c>
      <c r="Y25" s="324"/>
      <c r="Z25" s="324"/>
      <c r="AA25" s="324"/>
      <c r="AB25" s="324"/>
      <c r="AC25" s="463"/>
      <c r="AD25" s="325"/>
      <c r="AE25" s="302"/>
      <c r="AF25" s="324"/>
      <c r="AG25" s="325"/>
      <c r="AH25" s="325"/>
      <c r="AI25" s="594"/>
      <c r="AJ25" s="420"/>
      <c r="AK25" s="421"/>
      <c r="AL25" s="194"/>
      <c r="AP25" s="3" t="s">
        <v>983</v>
      </c>
      <c r="AQ25" s="641">
        <f>(+I25+J25)*100</f>
        <v>0</v>
      </c>
      <c r="AR25" s="615" t="s">
        <v>880</v>
      </c>
      <c r="AS25" s="642" t="e">
        <f>+VLOOKUP(VALUE(RIGHT(K21,4)),許容応力!$B$6:$K$22,10)*100</f>
        <v>#VALUE!</v>
      </c>
      <c r="AT25" s="615" t="s">
        <v>881</v>
      </c>
      <c r="AU25" s="520">
        <f>+BM24</f>
        <v>0</v>
      </c>
      <c r="AV25" s="18" t="s">
        <v>209</v>
      </c>
      <c r="AW25" s="18" t="s">
        <v>210</v>
      </c>
      <c r="AX25" s="3" t="s">
        <v>997</v>
      </c>
      <c r="AY25" s="3" t="s">
        <v>294</v>
      </c>
      <c r="AZ25" s="52" t="s">
        <v>498</v>
      </c>
      <c r="BA25" s="52" t="s">
        <v>499</v>
      </c>
      <c r="BB25" s="52" t="s">
        <v>500</v>
      </c>
      <c r="BC25" s="52" t="s">
        <v>501</v>
      </c>
      <c r="BD25" s="800" t="s">
        <v>295</v>
      </c>
      <c r="BE25" s="800" t="s">
        <v>296</v>
      </c>
      <c r="BF25" s="3" t="e">
        <f>ROUND(BI22/BL25,1)</f>
        <v>#DIV/0!</v>
      </c>
      <c r="BG25" s="3" t="e">
        <f>+IF(AW24&gt;=AW23,BJ22/AU26,BK22/AU26)</f>
        <v>#VALUE!</v>
      </c>
      <c r="BH25" s="63" t="e">
        <f>+BH24</f>
        <v>#DIV/0!</v>
      </c>
      <c r="BI25" s="3" t="e">
        <f>ROUND(BL22/BL25,1)</f>
        <v>#DIV/0!</v>
      </c>
      <c r="BJ25" s="3" t="e">
        <f>+IF(AW24&gt;=AW23,BM22/AU26,BN22/AU26)</f>
        <v>#VALUE!</v>
      </c>
      <c r="BK25" s="63" t="e">
        <f>+BK24</f>
        <v>#DIV/0!</v>
      </c>
      <c r="BL25" s="63">
        <f>IF(N22&lt;180,ROUND((N22/10-3)*POWER($N22/10-3,2)/6*IF(V22=0,1,V22),0),ROUND((N22/10-5)*POWER(N22/10-3,2)/6*IF($V22=0,1,$V22),0))</f>
        <v>-5</v>
      </c>
      <c r="BM25" s="63">
        <f>ROUND(IF(N22&lt;180,(N22/10-3)*POWER((N22/10-3),3)/12*IF(V22=0,1,V22),(N22/10-5))*POWER((N22/10-3),3)/12*IF(V22=0,1,V22),0)</f>
        <v>-15</v>
      </c>
      <c r="BN25" s="63" t="str">
        <f>IF(N22=0,"",IF(AW24&gt;=AW23,ROUND(AR23*AW24/AQ25/AG22/BB26,2),ROUNDUP(AR23*AW24/AQ25/AG22/BB26,2)))</f>
        <v/>
      </c>
      <c r="BO25" s="63" t="str">
        <f>IF(N21=0,"",IF(AW24&gt;=AW23,ROUND(AS23*AW24/AQ25/AG22/BC26,2),ROUNDUP(AS23*AW23/AQ25/AG22/BC26,2)))</f>
        <v/>
      </c>
      <c r="BQ25" s="3" t="s">
        <v>1002</v>
      </c>
      <c r="BR25" s="3">
        <f>IF(E26=0,0,+VALUE(RIGHT(E26,4)))</f>
        <v>0</v>
      </c>
      <c r="BT25" s="3" t="s">
        <v>1011</v>
      </c>
      <c r="BU25" s="3" t="e">
        <f>+BU23+BU24</f>
        <v>#N/A</v>
      </c>
      <c r="BV25" s="3" t="e">
        <f>+BV23+BV24</f>
        <v>#N/A</v>
      </c>
      <c r="BW25" s="3" t="s">
        <v>1018</v>
      </c>
      <c r="BX25" s="3" t="e">
        <f>+BU25*AQ25/2</f>
        <v>#N/A</v>
      </c>
      <c r="BY25" s="3" t="e">
        <f>5*BU25*POWER(AQ25,4)/(384*AS25)</f>
        <v>#N/A</v>
      </c>
      <c r="BZ25" s="800" t="s">
        <v>291</v>
      </c>
      <c r="CA25" s="3" t="e">
        <f>ROUND(L21/10*POWER(CA24,2)/6,0)</f>
        <v>#N/A</v>
      </c>
      <c r="CB25" s="800" t="s">
        <v>292</v>
      </c>
      <c r="CC25" s="3" t="e">
        <f>ROUND(L21/10*POWER(CA24,3)/12,0)</f>
        <v>#N/A</v>
      </c>
      <c r="CL25" s="3" t="s">
        <v>1018</v>
      </c>
      <c r="CM25" s="3">
        <f>+CM23*K25*100/2</f>
        <v>0</v>
      </c>
      <c r="CN25" s="3" t="e">
        <f>+CN23*K25*100/2</f>
        <v>#VALUE!</v>
      </c>
    </row>
    <row r="26" spans="2:103" ht="15" thickBot="1" x14ac:dyDescent="0.2">
      <c r="B26" s="1399"/>
      <c r="C26" s="1411" t="s">
        <v>1002</v>
      </c>
      <c r="D26" s="1412"/>
      <c r="E26" s="1150"/>
      <c r="F26" s="465" t="s">
        <v>1003</v>
      </c>
      <c r="G26" s="1136"/>
      <c r="H26" s="459" t="s">
        <v>1004</v>
      </c>
      <c r="I26" s="460"/>
      <c r="J26" s="466"/>
      <c r="K26" s="580"/>
      <c r="L26" s="1275"/>
      <c r="M26" s="1275"/>
      <c r="N26" s="225"/>
      <c r="O26" s="593"/>
      <c r="P26" s="593"/>
      <c r="Q26" s="593"/>
      <c r="R26" s="467"/>
      <c r="S26" s="422"/>
      <c r="T26" s="422"/>
      <c r="U26" s="423"/>
      <c r="V26" s="468"/>
      <c r="W26" s="1017" t="str">
        <f>+$J$169</f>
        <v/>
      </c>
      <c r="X26" s="423"/>
      <c r="Y26" s="423"/>
      <c r="Z26" s="423"/>
      <c r="AA26" s="423"/>
      <c r="AB26" s="423"/>
      <c r="AC26" s="467"/>
      <c r="AD26" s="422"/>
      <c r="AE26" s="225"/>
      <c r="AF26" s="423"/>
      <c r="AG26" s="422"/>
      <c r="AH26" s="422"/>
      <c r="AI26" s="593"/>
      <c r="AJ26" s="424"/>
      <c r="AK26" s="425"/>
      <c r="AL26" s="194"/>
      <c r="AP26" s="515" t="s">
        <v>984</v>
      </c>
      <c r="AQ26" s="3">
        <f>IF(F25=0,1,ROUND((F25+G25)/2,2))</f>
        <v>1</v>
      </c>
      <c r="AT26" s="615" t="s">
        <v>881</v>
      </c>
      <c r="AU26" s="3">
        <f>+BM25</f>
        <v>-15</v>
      </c>
      <c r="AV26" s="63">
        <f>ROUNDUP(IF(VALUE(RIGHT($G$10,3))=1,AW26*0.7,0),0)</f>
        <v>0</v>
      </c>
      <c r="AW26" s="63" t="e">
        <f>ROUNDUP(IF(VALUE(RIGHT($G$10,4))=1,$M$10*30*F21*100,$M$10*20*F21*100),0)</f>
        <v>#VALUE!</v>
      </c>
      <c r="AX26" s="10" t="e">
        <f>IF(AZ24=2,ROUND(VLOOKUP(AU24,許容応力!$B$6:$K$22,7)*1.1/3*100,0),ROUND(VLOOKUP(AU24,許容応力!$B$6:$K$22,7)*1.1/3*1.3*100,0))</f>
        <v>#VALUE!</v>
      </c>
      <c r="AY26" s="63" t="e">
        <f>ROUND(VLOOKUP(AU24,許容応力!$B$6:$K$22,7)*100*2/3*0.8,0)</f>
        <v>#VALUE!</v>
      </c>
      <c r="AZ26" s="10" t="e">
        <f>IF(AZ24=2,ROUND(VLOOKUP(AU24,許容応力!$B$6:$K$22,8)*1.1/3*100,0),ROUND(VLOOKUP(AU24,許容応力!$B$6:$K$22,8)*1.1/3*1.3*100,0))</f>
        <v>#VALUE!</v>
      </c>
      <c r="BA26" s="63" t="e">
        <f>ROUND(VLOOKUP(AU24,許容応力!$B$6:$K$22,8)*100*2/3*0.8,0)</f>
        <v>#VALUE!</v>
      </c>
      <c r="BB26" s="10" t="e">
        <f>IF(AZ24=2,ROUND(VLOOKUP(AU24,許容応力!$B$6:$K$22,9)*1.1/3*100,0),ROUND(VLOOKUP(AU24,許容応力!$B$6:$K$22,9)*1.1/3*1.3*100,0))</f>
        <v>#VALUE!</v>
      </c>
      <c r="BC26" s="63" t="e">
        <f>ROUND(VLOOKUP(AU24,許容応力!$B$6:$K$22,9)*100*2/3*0.8,0)</f>
        <v>#VALUE!</v>
      </c>
      <c r="BD26" s="63">
        <f>IF(AZ24=2,400,200)</f>
        <v>400</v>
      </c>
      <c r="BE26" s="63">
        <f>ROUND(AQ25/BD26,2)</f>
        <v>0</v>
      </c>
    </row>
    <row r="27" spans="2:103" x14ac:dyDescent="0.15">
      <c r="B27" s="1398" t="s">
        <v>1074</v>
      </c>
      <c r="C27" s="1682"/>
      <c r="D27" s="446"/>
      <c r="E27" s="1620"/>
      <c r="F27" s="1675" t="str">
        <f>IF(E27=0,"",ROUND(SQRT(COS(AU28*1.5*PI()/180)),3))</f>
        <v/>
      </c>
      <c r="G27" s="569" t="s">
        <v>962</v>
      </c>
      <c r="H27" s="569" t="s">
        <v>963</v>
      </c>
      <c r="I27" s="569" t="s">
        <v>965</v>
      </c>
      <c r="J27" s="562" t="s">
        <v>966</v>
      </c>
      <c r="K27" s="1653"/>
      <c r="L27" s="1654"/>
      <c r="M27" s="1229">
        <f>+IF(L27=0,0,"×")</f>
        <v>0</v>
      </c>
      <c r="N27" s="1295">
        <f>IF(L27=0,0,BB27)</f>
        <v>0</v>
      </c>
      <c r="O27" s="1296" t="str">
        <f>IF(W27=+"","",IF(AND(W27&lt;=1,X27&lt;=1,Z27&lt;=1,AA27&lt;=1),"OK!","NO!"))</f>
        <v/>
      </c>
      <c r="P27" s="1296">
        <f>IF(T27=0,0,IF(AND(R27=0,V31=0),0,IF(IF(Y27&gt;=AB27,Y27,AB27)&lt;=1,"OK!","NO!")))</f>
        <v>0</v>
      </c>
      <c r="Q27" s="1659"/>
      <c r="R27" s="1269"/>
      <c r="S27" s="1271">
        <f>IF(R27=0,0,+BR27)</f>
        <v>0</v>
      </c>
      <c r="T27" s="1313">
        <f>IF(AND(S31=0,R27=0),0,+IF(AND(VALUE(RIGHT(Q27,4))=2,S31&gt;0),0,IF(AND(VALUE(RIGHT(Q27,4))=1,R27&gt;0),0,CY27)))</f>
        <v>0</v>
      </c>
      <c r="U27" s="1257">
        <f>IF(R27=0,0,IF(BT30&gt;=BK30,BH30,BK30))</f>
        <v>0</v>
      </c>
      <c r="V27" s="1652"/>
      <c r="W27" s="1257" t="str">
        <f>IF(N27=0,"",ROUNDUP(BF30/AX32,2))</f>
        <v/>
      </c>
      <c r="X27" s="1257" t="str">
        <f>IF(N27=0,"",ROUND(BG30/BE32,2))</f>
        <v/>
      </c>
      <c r="Y27" s="1257">
        <f>IF(K27=0,0,IF(AND(R27=0,V31=0),0,IF(R27=0,ROUNDUP(CF27/(AZ32*$J$181*AR11*X31/100),2),+BS28)))</f>
        <v>0</v>
      </c>
      <c r="Z27" s="1257" t="str">
        <f>IF(N27=0,"",ROUNDUP(BI30/AY32,2))</f>
        <v/>
      </c>
      <c r="AA27" s="1257" t="str">
        <f>IF(N27=0,"",ROUNDUP(BJ30/BE32,2))</f>
        <v/>
      </c>
      <c r="AB27" s="1257">
        <f>IF(K27=0,0,IF(AND(R27=0,V31=0),0,IF(R27=0,ROUNDUP(CG27/(BA32*$K$181*AR11*X31/100),2),+BT28)))</f>
        <v>0</v>
      </c>
      <c r="AC27" s="158"/>
      <c r="AD27" s="426"/>
      <c r="AE27" s="444"/>
      <c r="AF27" s="445"/>
      <c r="AG27" s="1253">
        <f>IF(AC27=0,0,ROUND(AC27*AD27+AE27*AF27+AC28*AD28+AE28*AF28,2))</f>
        <v>0</v>
      </c>
      <c r="AH27" s="1253" t="str">
        <f>IF(AD27=0,"",IF(AN27=1,AM27/(AR11*X31),AM27))</f>
        <v/>
      </c>
      <c r="AI27" s="1255" t="str">
        <f>IF(AH27=+"","",IF(AH27&lt;=1,"OK!","NO!"))</f>
        <v/>
      </c>
      <c r="AJ27" s="182">
        <f>+IF(I31=0,0,"1/")</f>
        <v>0</v>
      </c>
      <c r="AK27" s="183">
        <f>IF(I31=0,0,+BD32)</f>
        <v>0</v>
      </c>
      <c r="AL27" s="194"/>
      <c r="AM27" s="3" t="e">
        <f>+IF(BN30&gt;=BO30,BN30+CW29,BO30+CX29)</f>
        <v>#VALUE!</v>
      </c>
      <c r="AN27" s="3">
        <f>IF(P31=0,0,+VALUE(RIGHT(P31,4)))</f>
        <v>0</v>
      </c>
      <c r="AO27" s="515" t="s">
        <v>878</v>
      </c>
      <c r="AP27" s="3">
        <f>ROUND((G28+H28)/2,2)</f>
        <v>0</v>
      </c>
      <c r="AR27" s="349" t="s">
        <v>707</v>
      </c>
      <c r="AS27" s="349" t="s">
        <v>703</v>
      </c>
      <c r="AT27" s="520" t="s">
        <v>241</v>
      </c>
      <c r="AU27" s="17" t="s">
        <v>83</v>
      </c>
      <c r="AV27" s="63" t="e">
        <f t="shared" ref="AV27:BA27" si="4">ROUNDUP(BC27/3,-1)*3</f>
        <v>#DIV/0!</v>
      </c>
      <c r="AW27" s="63" t="e">
        <f t="shared" si="4"/>
        <v>#VALUE!</v>
      </c>
      <c r="AX27" s="63" t="e">
        <f t="shared" si="4"/>
        <v>#VALUE!</v>
      </c>
      <c r="AY27" s="63" t="e">
        <f t="shared" si="4"/>
        <v>#DIV/0!</v>
      </c>
      <c r="AZ27" s="63" t="e">
        <f t="shared" si="4"/>
        <v>#VALUE!</v>
      </c>
      <c r="BA27" s="63" t="e">
        <f t="shared" si="4"/>
        <v>#VALUE!</v>
      </c>
      <c r="BB27" s="155" t="e">
        <f>+MAX(AV27:BA27)</f>
        <v>#DIV/0!</v>
      </c>
      <c r="BC27" s="63" t="e">
        <f>ROUND(SQRT(ROUND(BI27/AX32*6/(L27/10)/IF(V27=0,1,V27),1))*10,0)</f>
        <v>#DIV/0!</v>
      </c>
      <c r="BD27" s="3" t="e">
        <f>POWER(ROUNDUP(BJ27/(L27/10)*12,0)/IF(V27=0,1,V27)/BE32,1/3)*10</f>
        <v>#VALUE!</v>
      </c>
      <c r="BE27" s="3" t="e">
        <f>POWER(ROUND(BK27/(L27/10)*12,0)/IF(V27=0,1,V27)/BE32,1/3)*10</f>
        <v>#VALUE!</v>
      </c>
      <c r="BF27" s="63" t="e">
        <f>ROUND(SQRT(ROUND(BL27/AY32*6/(L27/10)/IF(V27=0,1,V27),1))*10,2)</f>
        <v>#DIV/0!</v>
      </c>
      <c r="BG27" s="3" t="e">
        <f>POWER(ROUND(BM27/(L27/10)*12,0)/IF(V27=0,1,V27)/BE32,1/3)*10</f>
        <v>#VALUE!</v>
      </c>
      <c r="BH27" s="3" t="e">
        <f>POWER(ROUND(BN27/(L27/10)*12,0)/IF(V27=0,1,V27)/BE32,1/3)*10</f>
        <v>#VALUE!</v>
      </c>
      <c r="BI27" s="63" t="e">
        <f>ROUNDUP(AW30*AW29/AQ31*AR29,1)+BX30+CM30</f>
        <v>#DIV/0!</v>
      </c>
      <c r="BJ27" s="63" t="e">
        <f>AR29*AW29*SQRT(POWER(BA29-AY29,3))/(9*SQRT(3)*AS31*(AW29+AW30))+BY31+CO30</f>
        <v>#VALUE!</v>
      </c>
      <c r="BK27" s="63" t="e">
        <f>AR29*AW30*SQRT(POWER(BA29-AY30,3))/(9*SQRT(3)*AS31*(AW29+AW30))+BY31+CO30</f>
        <v>#VALUE!</v>
      </c>
      <c r="BL27" s="63" t="e">
        <f>ROUNDUP(AW30*AW29/AQ31*AS29,1)+BX30+CN30</f>
        <v>#DIV/0!</v>
      </c>
      <c r="BM27" s="63" t="e">
        <f>AS29*AW29*SQRT(POWER(BA29-AY29,3))/(9*SQRT(3)*AS31*(AW29+AW30))+BY31+CO30</f>
        <v>#VALUE!</v>
      </c>
      <c r="BN27" s="63" t="e">
        <f>AS29*AW30*SQRT(POWER(BA29-AY30,3))/(9*SQRT(3)*AS31*(AW29+AW30))+BY31+CP30</f>
        <v>#VALUE!</v>
      </c>
      <c r="BO27" s="9" t="e">
        <f>IF(AW30&gt;=AW29,ROUNDUP(AR29*AW30/AQ31/BB32,2),ROUNDUP(AR29*AW29/AQ31/BB32,2))</f>
        <v>#DIV/0!</v>
      </c>
      <c r="BP27" s="9" t="e">
        <f>IF(AW30&gt;=AW29,ROUNDUP(AS29*AW30/AQ31/BC32,2),ROUNDUP(AS29*AW29/AQ31/BC32,2))</f>
        <v>#VALUE!</v>
      </c>
      <c r="BQ27" s="23" t="e">
        <f>IF(BO27&gt;=BP27,BO27,BP27)</f>
        <v>#DIV/0!</v>
      </c>
      <c r="BR27" s="9">
        <f>IF(N27=0,0,ROUNDUP(SQRT((U27*L27/10*N27/10)/(R27*R27)),2))</f>
        <v>0</v>
      </c>
      <c r="BS27" s="800" t="s">
        <v>473</v>
      </c>
      <c r="BT27" s="63" t="s">
        <v>474</v>
      </c>
      <c r="BU27" s="63" t="s">
        <v>201</v>
      </c>
      <c r="BV27" s="63" t="s">
        <v>202</v>
      </c>
      <c r="BW27" s="3">
        <v>1</v>
      </c>
      <c r="BX27" s="3">
        <v>2</v>
      </c>
      <c r="BY27" s="3">
        <v>3</v>
      </c>
      <c r="BZ27" s="3">
        <v>4</v>
      </c>
      <c r="CA27" s="3">
        <v>5</v>
      </c>
      <c r="CB27" s="3">
        <v>6</v>
      </c>
      <c r="CF27" s="442" t="e">
        <f>ROUND(IF($AW30&gt;=$AW29,$AW30,$AW29)/$AQ31*$AR29,1)+BX31+CM31</f>
        <v>#DIV/0!</v>
      </c>
      <c r="CG27" s="442" t="e">
        <f>ROUND(IF($AW30&gt;=$AW29,$AW30,$AW29)/$AQ31*$AS29,1)+BX31+CN31</f>
        <v>#DIV/0!</v>
      </c>
      <c r="CH27" s="443" t="e">
        <f>+AV27+CF30</f>
        <v>#DIV/0!</v>
      </c>
      <c r="CI27" s="548" t="e">
        <f>+AW27+CG30</f>
        <v>#VALUE!</v>
      </c>
      <c r="CJ27" s="548" t="e">
        <f>+AY27+CF30</f>
        <v>#DIV/0!</v>
      </c>
      <c r="CK27" s="548" t="e">
        <f>+AZ27+CG30</f>
        <v>#VALUE!</v>
      </c>
      <c r="CL27" s="545" t="e">
        <f>MAX(CH27:CK27)</f>
        <v>#DIV/0!</v>
      </c>
      <c r="CM27" s="63" t="s">
        <v>201</v>
      </c>
      <c r="CN27" s="63" t="s">
        <v>202</v>
      </c>
      <c r="CQ27" s="412" t="s">
        <v>1013</v>
      </c>
      <c r="CR27" s="349" t="s">
        <v>1014</v>
      </c>
      <c r="CS27" s="412" t="s">
        <v>1015</v>
      </c>
      <c r="CT27" s="412" t="s">
        <v>1013</v>
      </c>
      <c r="CU27" s="349" t="s">
        <v>1014</v>
      </c>
      <c r="CV27" s="412" t="s">
        <v>1015</v>
      </c>
      <c r="CW27" s="3" t="s">
        <v>1223</v>
      </c>
      <c r="CX27" s="3" t="s">
        <v>1224</v>
      </c>
      <c r="CY27" s="1253">
        <f>IF(AND(R27=0,V31=0),0,IF(S27=0,K$181*AR11*X31/100,ROUND(POWER(R27*S27,2)/(L27/10*N27/10),2)))</f>
        <v>0</v>
      </c>
    </row>
    <row r="28" spans="2:103" x14ac:dyDescent="0.15">
      <c r="B28" s="1398"/>
      <c r="C28" s="1400"/>
      <c r="D28" s="330"/>
      <c r="E28" s="1357"/>
      <c r="F28" s="1166"/>
      <c r="G28" s="1028"/>
      <c r="H28" s="1028"/>
      <c r="I28" s="1028"/>
      <c r="J28" s="448"/>
      <c r="K28" s="1672"/>
      <c r="L28" s="1653"/>
      <c r="M28" s="1285"/>
      <c r="N28" s="1258"/>
      <c r="O28" s="1258"/>
      <c r="P28" s="1297"/>
      <c r="Q28" s="1660"/>
      <c r="R28" s="1507"/>
      <c r="S28" s="1312"/>
      <c r="T28" s="1312"/>
      <c r="U28" s="1254"/>
      <c r="V28" s="1653"/>
      <c r="W28" s="1258"/>
      <c r="X28" s="1258"/>
      <c r="Y28" s="1254"/>
      <c r="Z28" s="1258"/>
      <c r="AA28" s="1258"/>
      <c r="AB28" s="1254"/>
      <c r="AC28" s="414"/>
      <c r="AD28" s="427"/>
      <c r="AE28" s="783"/>
      <c r="AF28" s="429"/>
      <c r="AG28" s="1254"/>
      <c r="AH28" s="1254"/>
      <c r="AI28" s="1256"/>
      <c r="AJ28" s="415">
        <f>+IF(I31=0,0,"1/")</f>
        <v>0</v>
      </c>
      <c r="AK28" s="416">
        <f>IF(I31=0,0,+BD32)</f>
        <v>0</v>
      </c>
      <c r="AL28" s="194"/>
      <c r="AO28" s="515" t="s">
        <v>879</v>
      </c>
      <c r="AP28" s="3">
        <f>ROUND((I28+J28)/2,2)</f>
        <v>0</v>
      </c>
      <c r="AQ28" s="479" t="s">
        <v>877</v>
      </c>
      <c r="AR28" s="632">
        <f>+準備!G57+AV32</f>
        <v>850</v>
      </c>
      <c r="AS28" s="632" t="e">
        <f>+準備!G57+AW32</f>
        <v>#VALUE!</v>
      </c>
      <c r="AT28" s="3">
        <f>+IF(OR(V28=0,V28=1),1,V28)</f>
        <v>1</v>
      </c>
      <c r="AU28" s="69">
        <f>ROUND(ATAN(E27/10)*180/PI(),4)</f>
        <v>0</v>
      </c>
      <c r="AV28" s="63" t="e">
        <f>IF(V28=0.8,VLOOKUP(BC28,$AR$397:$AS$442,2),IF(V28=0.9,VLOOKUP(BC28,$AR$350:$AS$395,2),VLOOKUP(BC28,$AR$303:$AS$348,2)))</f>
        <v>#DIV/0!</v>
      </c>
      <c r="AW28" s="63" t="e">
        <f>IF(V28=0.8,VLOOKUP(BD28,$AT$397:$AU$442,2),IF(V28=0.9,VLOOKUP(BD28,$AT$350:$AU$395,2),VLOOKUP(BD28,$AT$303:$AU$348,2)))</f>
        <v>#VALUE!</v>
      </c>
      <c r="AX28" s="63" t="e">
        <f>IF(V28=0.8,VLOOKUP(BE28,$AT$397:$AU$442,2),IF(V28=0.9,VLOOKUP(BE28,$AT$350:$AU$395,2),VLOOKUP(BE28,$AT$303:$AU$348,2)))</f>
        <v>#VALUE!</v>
      </c>
      <c r="AY28" s="63" t="e">
        <f>IF(V28=0.8,VLOOKUP(BF28,$AR$397:$AS$442,2),IF(V28=0.9,VLOOKUP(BF28,$AR$350:$AS$395,2),VLOOKUP(BF28,$AR$303:$AS$348,2)))</f>
        <v>#DIV/0!</v>
      </c>
      <c r="AZ28" s="63" t="e">
        <f>IF(V28=0.8,VLOOKUP(BG28,$AT$397:$AU$442,2),IF(V28=0.9,VLOOKUP(BG28,$AT$350:$AU$395,2),VLOOKUP(BG28,$AT$303:$AU$348,2)))</f>
        <v>#VALUE!</v>
      </c>
      <c r="BA28" s="63" t="e">
        <f>IF(V28=0.8,VLOOKUP(BH28,$AT$397:$AU$442,2),IF(V28=0.9,VLOOKUP(BH28,$AT$350:$AU$395,2),VLOOKUP(BH28,$AT$303:$AU$348,2)))</f>
        <v>#VALUE!</v>
      </c>
      <c r="BB28" s="155" t="e">
        <f>+MAX(AV28:BA28)</f>
        <v>#DIV/0!</v>
      </c>
      <c r="BC28" s="63" t="e">
        <f>ROUNDUP(BI28/AX32/IF(V28=0,1,V28),1)</f>
        <v>#DIV/0!</v>
      </c>
      <c r="BD28" s="63" t="e">
        <f>ROUNDUP(AR29*AW29*BE29/(9*SQRT(3)*AS31*AQ31*BE32)/AT28,2)</f>
        <v>#VALUE!</v>
      </c>
      <c r="BE28" s="63" t="e">
        <f>ROUNDUP(AR29*AW29*BE29/(9*SQRT(3)*AS31*AQ31*BE32)/AT28,2)</f>
        <v>#VALUE!</v>
      </c>
      <c r="BF28" s="63" t="e">
        <f>ROUNDUP(BL28/AY32/IF(V28=0,1,V28),1)</f>
        <v>#DIV/0!</v>
      </c>
      <c r="BG28" s="63" t="e">
        <f>ROUNDUP(AS29*AW29*BE29/(9*SQRT(3)*AS31*AQ31*BE32)/AT28,2)</f>
        <v>#VALUE!</v>
      </c>
      <c r="BH28" s="63" t="e">
        <f>ROUNDUP(AS29*AW30*BE29/(9*SQRT(3)*AS31*AQ31*BE32)/AT28,2)</f>
        <v>#VALUE!</v>
      </c>
      <c r="BI28" s="63" t="e">
        <f>ROUNDUP(AW29*AW30/AQ31*AR29,1)+BX30+CM30</f>
        <v>#DIV/0!</v>
      </c>
      <c r="BJ28" s="63" t="e">
        <f>+BJ27</f>
        <v>#VALUE!</v>
      </c>
      <c r="BK28" s="63" t="e">
        <f>+BK27</f>
        <v>#VALUE!</v>
      </c>
      <c r="BL28" s="63" t="e">
        <f>+BL27</f>
        <v>#DIV/0!</v>
      </c>
      <c r="BM28" s="63" t="e">
        <f>+BM27</f>
        <v>#VALUE!</v>
      </c>
      <c r="BN28" s="63" t="e">
        <f>+BN27</f>
        <v>#VALUE!</v>
      </c>
      <c r="BO28" s="9" t="e">
        <f>IF(AW30&gt;=AW29,ROUNDUP(AR29*AW30/AQ31/BB32,2),ROUNDUP(AR29*AW29/AQ31/BB32,2))</f>
        <v>#DIV/0!</v>
      </c>
      <c r="BP28" s="9" t="e">
        <f>IF(AW30&gt;=AW29,ROUNDUP(AS29*AW30/AQ31/BC32,2),ROUNDUP(AS29*AW29/AQ31/BC32,2))</f>
        <v>#VALUE!</v>
      </c>
      <c r="BQ28" s="23" t="e">
        <f>IF(BO28&gt;=BP28,BO28,BP28)</f>
        <v>#DIV/0!</v>
      </c>
      <c r="BR28" s="9">
        <f>IF(N28=0,0,ROUNDUP(SQRT(IF(Q28=0,(U28*(N28/10-5)*(N28/10-3)),(U28*(Q28/10-5)*(Q28/10-3)))/(R28*R28)),2))</f>
        <v>0</v>
      </c>
      <c r="BS28" s="63" t="str">
        <f>IF(N27=0,"",ROUND(CF27/(AZ32*T27),2))</f>
        <v/>
      </c>
      <c r="BT28" s="63" t="str">
        <f>IF(N27=0,"",ROUND(CG27/(BA32*T27),1))</f>
        <v/>
      </c>
      <c r="BU28" s="800" t="s">
        <v>269</v>
      </c>
      <c r="BV28" s="800" t="s">
        <v>269</v>
      </c>
      <c r="BW28" s="632">
        <f>+準備!$G$20/100</f>
        <v>4.5</v>
      </c>
      <c r="BX28" s="632">
        <f>+準備!$G$24/100</f>
        <v>11</v>
      </c>
      <c r="BY28" s="632">
        <f>+準備!$G$28/100</f>
        <v>14</v>
      </c>
      <c r="BZ28" s="632">
        <f>+準備!$G$32/100</f>
        <v>17.5</v>
      </c>
      <c r="CA28" s="632">
        <f>+準備!$G$36/100</f>
        <v>17.5</v>
      </c>
      <c r="CB28" s="632">
        <f>+準備!$G$38/100</f>
        <v>4</v>
      </c>
      <c r="CF28" s="548" t="e">
        <f>+IF($AW30&gt;=$AW29,$AW30*$AR29/($K31*100)+BX31,$AW29*$AR29/($K31*100)+BX31+CM31)</f>
        <v>#DIV/0!</v>
      </c>
      <c r="CG28" s="548" t="e">
        <f>+IF($AW30&gt;=$AW29,$AW30*$AS29/($K31*100)+BX31,$AW29*$AS29/($K31*100)+BX31+CN31)</f>
        <v>#VALUE!</v>
      </c>
      <c r="CH28" s="548" t="e">
        <f>+AV28+CF30</f>
        <v>#DIV/0!</v>
      </c>
      <c r="CI28" s="548" t="e">
        <f>+AW28+CG30</f>
        <v>#VALUE!</v>
      </c>
      <c r="CJ28" s="548" t="e">
        <f>+AY28+CF30</f>
        <v>#DIV/0!</v>
      </c>
      <c r="CK28" s="548" t="e">
        <f>+AZ28+CG30</f>
        <v>#VALUE!</v>
      </c>
      <c r="CL28" s="545" t="e">
        <f>MAX(CH28:CK28)</f>
        <v>#DIV/0!</v>
      </c>
      <c r="CM28" s="800" t="s">
        <v>269</v>
      </c>
      <c r="CN28" s="800" t="s">
        <v>269</v>
      </c>
      <c r="CO28" s="3" t="s">
        <v>189</v>
      </c>
      <c r="CQ28" s="3" t="e">
        <f>IF($BX30=0,0,ROUND(($BX30+$CM30)/$CA31,1))</f>
        <v>#N/A</v>
      </c>
      <c r="CR28" s="3" t="e">
        <f>IF($BY31=0,0,ROUND(($BY31+$CO30)/$CC31,2))</f>
        <v>#N/A</v>
      </c>
      <c r="CS28" s="3" t="e">
        <f>IF($BX31=0,0,ROUND(($BX31+$CM31)/$T27,1))</f>
        <v>#N/A</v>
      </c>
      <c r="CT28" s="3" t="e">
        <f>IF($BX30=0,0,ROUND(($BX30+$CN30)/$CA31,1))</f>
        <v>#N/A</v>
      </c>
      <c r="CU28" s="3" t="e">
        <f>IF($BY31=0,0,ROUND(($BY31+$CP30)/$CC31,2))</f>
        <v>#N/A</v>
      </c>
      <c r="CV28" s="3" t="e">
        <f>IF($BX31=0,0,ROUND(($BX31+$CN31)/$T27,1))</f>
        <v>#N/A</v>
      </c>
      <c r="CW28" s="3" t="e">
        <f>ROUND(VLOOKUP(VALUE(RIGHT($K27,4)),許容応力!$B$6:$K$22,9)*1.1/3*100,0)</f>
        <v>#VALUE!</v>
      </c>
      <c r="CX28" s="3" t="e">
        <f>ROUND(VLOOKUP(VALUE(RIGHT($K27,4)),許容応力!$B$6:$K$22,9)*2/3*0.8*100,0)</f>
        <v>#VALUE!</v>
      </c>
      <c r="CY28" s="1272"/>
    </row>
    <row r="29" spans="2:103" x14ac:dyDescent="0.15">
      <c r="B29" s="1398"/>
      <c r="C29" s="1217" t="s">
        <v>980</v>
      </c>
      <c r="D29" s="1403" t="s">
        <v>961</v>
      </c>
      <c r="E29" s="1404"/>
      <c r="F29" s="1407" t="s">
        <v>964</v>
      </c>
      <c r="G29" s="1408"/>
      <c r="H29" s="1239" t="s">
        <v>970</v>
      </c>
      <c r="I29" s="1215" t="s">
        <v>967</v>
      </c>
      <c r="J29" s="1397"/>
      <c r="K29" s="461"/>
      <c r="L29" s="451"/>
      <c r="M29" s="450"/>
      <c r="N29" s="451"/>
      <c r="O29" s="450"/>
      <c r="P29" s="451"/>
      <c r="Q29" s="878"/>
      <c r="R29" s="1307" t="s">
        <v>1154</v>
      </c>
      <c r="S29" s="1308"/>
      <c r="T29" s="1308"/>
      <c r="U29" s="1308"/>
      <c r="V29" s="1308"/>
      <c r="W29" s="1308"/>
      <c r="X29" s="1621"/>
      <c r="Y29" s="453"/>
      <c r="Z29" s="453"/>
      <c r="AA29" s="453"/>
      <c r="AB29" s="453"/>
      <c r="AC29" s="462"/>
      <c r="AD29" s="452"/>
      <c r="AE29" s="451"/>
      <c r="AF29" s="453"/>
      <c r="AG29" s="452"/>
      <c r="AH29" s="452"/>
      <c r="AI29" s="450"/>
      <c r="AJ29" s="454"/>
      <c r="AK29" s="455"/>
      <c r="AL29" s="194"/>
      <c r="AO29" s="637" t="s">
        <v>958</v>
      </c>
      <c r="AQ29" s="638" t="s">
        <v>994</v>
      </c>
      <c r="AR29" s="3">
        <f>ROUND(AR28*AP27*AP28,0)</f>
        <v>0</v>
      </c>
      <c r="AS29" s="3" t="e">
        <f>ROUND(AS28*AP27*AP28,0)</f>
        <v>#VALUE!</v>
      </c>
      <c r="AT29" s="639" t="e">
        <f>+VALUE(RIGHT(K27,4))</f>
        <v>#VALUE!</v>
      </c>
      <c r="AU29" s="639" t="e">
        <f>+VLOOKUP(VALUE(RIGHT(K27,4)),$G$387:$J$397,3)</f>
        <v>#VALUE!</v>
      </c>
      <c r="AV29" s="377" t="s">
        <v>986</v>
      </c>
      <c r="AW29" s="640">
        <f>+J31*100</f>
        <v>0</v>
      </c>
      <c r="AX29" s="3" t="s">
        <v>988</v>
      </c>
      <c r="AY29" s="3">
        <f>+POWER(AW29,2)</f>
        <v>0</v>
      </c>
      <c r="AZ29" s="3" t="s">
        <v>990</v>
      </c>
      <c r="BA29" s="3">
        <f>+POWER(AQ31,2)</f>
        <v>0</v>
      </c>
      <c r="BB29" s="3" t="s">
        <v>999</v>
      </c>
      <c r="BC29" s="3">
        <f>+BA29-AY29</f>
        <v>0</v>
      </c>
      <c r="BD29" s="3" t="s">
        <v>992</v>
      </c>
      <c r="BE29" s="3">
        <f>SQRT(+POWER(BC29,3))</f>
        <v>0</v>
      </c>
      <c r="BF29" s="52" t="s">
        <v>287</v>
      </c>
      <c r="BG29" s="800" t="s">
        <v>288</v>
      </c>
      <c r="BH29" s="52" t="s">
        <v>490</v>
      </c>
      <c r="BI29" s="52" t="s">
        <v>289</v>
      </c>
      <c r="BJ29" s="800" t="s">
        <v>290</v>
      </c>
      <c r="BK29" s="52" t="s">
        <v>493</v>
      </c>
      <c r="BL29" s="800" t="s">
        <v>291</v>
      </c>
      <c r="BM29" s="800" t="s">
        <v>292</v>
      </c>
      <c r="BN29" s="412" t="s">
        <v>1020</v>
      </c>
      <c r="BO29" s="412" t="s">
        <v>1021</v>
      </c>
      <c r="BS29" s="63" t="str">
        <f>+BS28</f>
        <v/>
      </c>
      <c r="BT29" s="63" t="str">
        <f>+BT28</f>
        <v/>
      </c>
      <c r="BU29" s="87" t="e">
        <f>IF(OR(BR30=0,BR30=1),0,ROUNDUP((準備!$G$60/100+準備!$D$48/100)*((F31+G31)/2*100)/200,2))</f>
        <v>#N/A</v>
      </c>
      <c r="BV29" s="87" t="e">
        <f>+BU29</f>
        <v>#N/A</v>
      </c>
      <c r="BW29" s="3">
        <f t="shared" ref="BW29:CB29" si="5">ROUND(BW28*$I32,2)</f>
        <v>0</v>
      </c>
      <c r="BX29" s="3">
        <f t="shared" si="5"/>
        <v>0</v>
      </c>
      <c r="BY29" s="3">
        <f t="shared" si="5"/>
        <v>0</v>
      </c>
      <c r="BZ29" s="3">
        <f t="shared" si="5"/>
        <v>0</v>
      </c>
      <c r="CA29" s="3">
        <f t="shared" si="5"/>
        <v>0</v>
      </c>
      <c r="CB29" s="3">
        <f t="shared" si="5"/>
        <v>0</v>
      </c>
      <c r="CF29" s="412" t="s">
        <v>1065</v>
      </c>
      <c r="CG29" s="349" t="s">
        <v>1066</v>
      </c>
      <c r="CH29" s="412" t="s">
        <v>1067</v>
      </c>
      <c r="CM29" s="87">
        <f>IF(OR($BR30=0,$BR30=1),0,ROUND((準備!$G$6+$AV32)*$G31/200,2))</f>
        <v>0</v>
      </c>
      <c r="CN29" s="87" t="e">
        <f>IF(OR($BR30=0,$BR30=1),0,ROUND((準備!$G$6+$AW32)*$G31/200,2))</f>
        <v>#VALUE!</v>
      </c>
      <c r="CO29" s="3" t="s">
        <v>168</v>
      </c>
      <c r="CP29" s="3" t="s">
        <v>203</v>
      </c>
      <c r="CQ29" s="412" t="s">
        <v>1065</v>
      </c>
      <c r="CR29" s="349" t="s">
        <v>1066</v>
      </c>
      <c r="CS29" s="412" t="s">
        <v>1067</v>
      </c>
      <c r="CT29" s="412" t="s">
        <v>1065</v>
      </c>
      <c r="CU29" s="349" t="s">
        <v>1066</v>
      </c>
      <c r="CV29" s="412" t="s">
        <v>1067</v>
      </c>
      <c r="CW29" s="3" t="e">
        <f>ROUND($CM$17*K31*100/2/CW28/AG27,2)</f>
        <v>#VALUE!</v>
      </c>
      <c r="CX29" s="3" t="e">
        <f>ROUND(CN29*K31*100/2/CX28/AG27,2)</f>
        <v>#VALUE!</v>
      </c>
    </row>
    <row r="30" spans="2:103" x14ac:dyDescent="0.15">
      <c r="B30" s="1398"/>
      <c r="C30" s="1402"/>
      <c r="D30" s="1405"/>
      <c r="E30" s="1406"/>
      <c r="F30" s="411" t="s">
        <v>971</v>
      </c>
      <c r="G30" s="591" t="s">
        <v>972</v>
      </c>
      <c r="H30" s="1409"/>
      <c r="I30" s="586" t="s">
        <v>981</v>
      </c>
      <c r="J30" s="592" t="s">
        <v>982</v>
      </c>
      <c r="K30" s="440" t="s">
        <v>1011</v>
      </c>
      <c r="L30" s="1342"/>
      <c r="M30" s="1342"/>
      <c r="N30" s="302"/>
      <c r="O30" s="594"/>
      <c r="P30" s="1342"/>
      <c r="Q30" s="1406"/>
      <c r="R30" s="877" t="s">
        <v>1265</v>
      </c>
      <c r="S30" s="877" t="s">
        <v>1266</v>
      </c>
      <c r="T30" s="877" t="s">
        <v>1267</v>
      </c>
      <c r="U30" s="877" t="s">
        <v>1260</v>
      </c>
      <c r="V30" s="877" t="s">
        <v>1268</v>
      </c>
      <c r="W30" s="440" t="s">
        <v>1151</v>
      </c>
      <c r="X30" s="440" t="s">
        <v>1153</v>
      </c>
      <c r="Y30" s="324"/>
      <c r="Z30" s="324"/>
      <c r="AA30" s="324"/>
      <c r="AB30" s="324"/>
      <c r="AC30" s="463"/>
      <c r="AD30" s="325"/>
      <c r="AE30" s="302"/>
      <c r="AF30" s="324"/>
      <c r="AG30" s="325"/>
      <c r="AH30" s="325"/>
      <c r="AI30" s="594"/>
      <c r="AJ30" s="420"/>
      <c r="AK30" s="421"/>
      <c r="AL30" s="194"/>
      <c r="AP30" s="3" t="s">
        <v>790</v>
      </c>
      <c r="AQ30" s="3">
        <f>+L27</f>
        <v>0</v>
      </c>
      <c r="AR30" s="3" t="s">
        <v>985</v>
      </c>
      <c r="AS30" s="3">
        <f>+N27</f>
        <v>0</v>
      </c>
      <c r="AT30" s="3" t="s">
        <v>15</v>
      </c>
      <c r="AU30" s="3" t="e">
        <f>+VALUE(RIGHT(K27,4))</f>
        <v>#VALUE!</v>
      </c>
      <c r="AV30" s="377" t="s">
        <v>987</v>
      </c>
      <c r="AW30" s="640">
        <f>+I31*100</f>
        <v>0</v>
      </c>
      <c r="AX30" s="3" t="s">
        <v>989</v>
      </c>
      <c r="AY30" s="3">
        <f>+POWER(AW30,2)</f>
        <v>0</v>
      </c>
      <c r="AZ30" s="409">
        <f>+VALUE(RIGHT($G$10,3))</f>
        <v>2</v>
      </c>
      <c r="BB30" s="3" t="s">
        <v>991</v>
      </c>
      <c r="BC30" s="3">
        <f>+BA29-AY30</f>
        <v>0</v>
      </c>
      <c r="BD30" s="3" t="s">
        <v>993</v>
      </c>
      <c r="BE30" s="3">
        <f>SQRT(+POWER(BC30,3))</f>
        <v>0</v>
      </c>
      <c r="BF30" s="3" t="e">
        <f>ROUND((BI27)/BL30,1)</f>
        <v>#DIV/0!</v>
      </c>
      <c r="BG30" s="3" t="e">
        <f>+IF(AW30&gt;=AW29,BJ27/AU31,BK27/AU31)</f>
        <v>#VALUE!</v>
      </c>
      <c r="BH30" s="63" t="e">
        <f>+CF27/AZ32</f>
        <v>#DIV/0!</v>
      </c>
      <c r="BI30" s="3" t="e">
        <f>ROUND(BL27/BL30,1)</f>
        <v>#DIV/0!</v>
      </c>
      <c r="BJ30" s="3" t="e">
        <f>+IF(AW30&gt;=AW29,BM27/AU31,BN27/AU31)</f>
        <v>#VALUE!</v>
      </c>
      <c r="BK30" s="63" t="e">
        <f>+CG27/BA32</f>
        <v>#DIV/0!</v>
      </c>
      <c r="BL30" s="63">
        <f>ROUNDDOWN(L27/10*POWER(N27/10,2)/6*IF(OR(V27=0,V27=1),1,V27),0)</f>
        <v>0</v>
      </c>
      <c r="BM30" s="63">
        <f>ROUNDDOWN(L27/10*POWER(N27/10,3)/12*IF(OR(V27=0,V27=1),1,V27),0)</f>
        <v>0</v>
      </c>
      <c r="BN30" s="63" t="str">
        <f>IF(N27=0,"",IF(AW30&gt;=AW29,ROUND(AR29*AW30/AQ31/AG27/BB32,2),ROUNDUP(AR29*AW29/AQ31/AG27/BB32,2)))</f>
        <v/>
      </c>
      <c r="BO30" s="63" t="str">
        <f>IF(N27=0,"",IF(AW30&gt;=AW29,ROUND(AS29*AW30/AQ31/AG27/BC32,2),ROUNDUP(AS29*AW29/AQ31/AG27/BC32,2)))</f>
        <v/>
      </c>
      <c r="BQ30" s="3" t="s">
        <v>1012</v>
      </c>
      <c r="BR30" s="3">
        <f>IF(D29=0,0,+VALUE(RIGHT(D29,4)))</f>
        <v>2</v>
      </c>
      <c r="BS30" s="3" t="s">
        <v>1003</v>
      </c>
      <c r="BT30" s="3">
        <f>IF(G32=0,0,+VALUE(RIGHT(G32,4)))</f>
        <v>0</v>
      </c>
      <c r="BU30" s="3">
        <f>IF(OR(BR31=0,BR31=2),0,HLOOKUP(BT30,BW27:CB29,3))</f>
        <v>0</v>
      </c>
      <c r="BV30" s="3">
        <f>+BU30</f>
        <v>0</v>
      </c>
      <c r="BW30" s="3" t="s">
        <v>1019</v>
      </c>
      <c r="BX30" s="3" t="e">
        <f>BU31*POWER(AQ31,2)/8</f>
        <v>#N/A</v>
      </c>
      <c r="BY30" s="3" t="s">
        <v>189</v>
      </c>
      <c r="BZ30" s="3" t="s">
        <v>782</v>
      </c>
      <c r="CA30" s="3" t="e">
        <f>ROUNDUP(+SQRT((BX30+CM30)*6/(AX32*L27/10)),0)</f>
        <v>#N/A</v>
      </c>
      <c r="CF30" s="3" t="e">
        <f>+ROUNDUP(CQ30/3,-1)*3</f>
        <v>#N/A</v>
      </c>
      <c r="CG30" s="3" t="e">
        <f>ROUNDUP(CR30/3,-1)*3</f>
        <v>#N/A</v>
      </c>
      <c r="CH30" s="3" t="e">
        <f>ROUNDUP(CS30/3,-1)*3</f>
        <v>#N/A</v>
      </c>
      <c r="CL30" s="3" t="s">
        <v>1019</v>
      </c>
      <c r="CM30" s="3">
        <f>+CM29*POWER(K31*100,2)/8</f>
        <v>0</v>
      </c>
      <c r="CN30" s="3" t="e">
        <f>+CN29*POWER(K31*100,2)/8</f>
        <v>#VALUE!</v>
      </c>
      <c r="CO30" s="3" t="e">
        <f>5*CM29*POWER(AQ31,4)/(384*AS31)</f>
        <v>#VALUE!</v>
      </c>
      <c r="CP30" s="3" t="e">
        <f>5*CN29*POWER(AQ31,4)/(384*AS31)</f>
        <v>#VALUE!</v>
      </c>
      <c r="CQ30" s="3" t="e">
        <f>+CQ28/AX32</f>
        <v>#N/A</v>
      </c>
      <c r="CR30" s="3" t="e">
        <f>+CR28/BE32</f>
        <v>#N/A</v>
      </c>
      <c r="CS30" s="3" t="e">
        <f>+CS28/AZ32</f>
        <v>#N/A</v>
      </c>
      <c r="CT30" s="3" t="e">
        <f>+CT28/AX32</f>
        <v>#N/A</v>
      </c>
      <c r="CU30" s="3" t="e">
        <f>+CU28/BE32</f>
        <v>#N/A</v>
      </c>
      <c r="CV30" s="3" t="e">
        <f>+CV28/AZ32</f>
        <v>#N/A</v>
      </c>
    </row>
    <row r="31" spans="2:103" ht="14.25" customHeight="1" x14ac:dyDescent="0.15">
      <c r="B31" s="1398"/>
      <c r="C31" s="1219"/>
      <c r="D31" s="1322"/>
      <c r="E31" s="1211"/>
      <c r="F31" s="1031"/>
      <c r="G31" s="1031"/>
      <c r="H31" s="1410"/>
      <c r="I31" s="1031"/>
      <c r="J31" s="413"/>
      <c r="K31" s="464">
        <f>+I31+J31</f>
        <v>0</v>
      </c>
      <c r="L31" s="302"/>
      <c r="M31" s="594"/>
      <c r="N31" s="302"/>
      <c r="O31" s="594"/>
      <c r="P31" s="1382"/>
      <c r="Q31" s="1406"/>
      <c r="R31" s="1029"/>
      <c r="S31" s="1029"/>
      <c r="T31" s="882">
        <f>+IF(S31=0,0,6)</f>
        <v>0</v>
      </c>
      <c r="U31" s="1029"/>
      <c r="V31" s="1029"/>
      <c r="W31" s="574" t="str">
        <f>+$K$170</f>
        <v/>
      </c>
      <c r="X31" s="574">
        <f>IF(V31=0,0,+VLOOKUP(W31,$I$189:$J$194,2))</f>
        <v>0</v>
      </c>
      <c r="Y31" s="324"/>
      <c r="Z31" s="324"/>
      <c r="AA31" s="324"/>
      <c r="AB31" s="324"/>
      <c r="AC31" s="463"/>
      <c r="AD31" s="325"/>
      <c r="AE31" s="302"/>
      <c r="AF31" s="324"/>
      <c r="AG31" s="325"/>
      <c r="AH31" s="325"/>
      <c r="AI31" s="594"/>
      <c r="AJ31" s="420"/>
      <c r="AK31" s="421"/>
      <c r="AL31" s="194"/>
      <c r="AP31" s="3" t="s">
        <v>983</v>
      </c>
      <c r="AQ31" s="641">
        <f>(+I31+J31)*100</f>
        <v>0</v>
      </c>
      <c r="AR31" s="615" t="s">
        <v>880</v>
      </c>
      <c r="AS31" s="642" t="e">
        <f>+VLOOKUP(VALUE(RIGHT(K27,4)),許容応力!$B$6:$K$22,10)*100</f>
        <v>#VALUE!</v>
      </c>
      <c r="AT31" s="615" t="s">
        <v>881</v>
      </c>
      <c r="AU31" s="520">
        <f>+BM30</f>
        <v>0</v>
      </c>
      <c r="AV31" s="18" t="s">
        <v>209</v>
      </c>
      <c r="AW31" s="18" t="s">
        <v>210</v>
      </c>
      <c r="AX31" s="3" t="s">
        <v>997</v>
      </c>
      <c r="AY31" s="3" t="s">
        <v>294</v>
      </c>
      <c r="AZ31" s="52" t="s">
        <v>498</v>
      </c>
      <c r="BA31" s="52" t="s">
        <v>499</v>
      </c>
      <c r="BB31" s="52" t="s">
        <v>500</v>
      </c>
      <c r="BC31" s="52" t="s">
        <v>501</v>
      </c>
      <c r="BD31" s="800" t="s">
        <v>295</v>
      </c>
      <c r="BE31" s="800" t="s">
        <v>296</v>
      </c>
      <c r="BF31" s="3" t="e">
        <f>ROUND(BI28/BL31,1)</f>
        <v>#DIV/0!</v>
      </c>
      <c r="BG31" s="3" t="e">
        <f>+IF(AW30&gt;=AW29,BJ28/AU32,BK28/AU32)</f>
        <v>#VALUE!</v>
      </c>
      <c r="BH31" s="63" t="e">
        <f>+BH30</f>
        <v>#DIV/0!</v>
      </c>
      <c r="BI31" s="3" t="e">
        <f>ROUND(BL28/BL31,1)</f>
        <v>#DIV/0!</v>
      </c>
      <c r="BJ31" s="3" t="e">
        <f>+IF(AW30&gt;=AW29,BM28/AU32,BN28/AU32)</f>
        <v>#VALUE!</v>
      </c>
      <c r="BK31" s="63" t="e">
        <f>+BK30</f>
        <v>#DIV/0!</v>
      </c>
      <c r="BL31" s="63">
        <f>IF(N28&lt;180,ROUND((N28/10-3)*POWER($N28/10-3,2)/6*IF(V28=0,1,V28),0),ROUND((N28/10-5)*POWER(N28/10-3,2)/6*IF($V28=0,1,$V28),0))</f>
        <v>-5</v>
      </c>
      <c r="BM31" s="63">
        <f>ROUND(IF(N28&lt;180,(N28/10-3)*POWER((N28/10-3),3)/12*IF(V28=0,1,V28),(N28/10-5))*POWER((N28/10-3),3)/12*IF(V28=0,1,V28),0)</f>
        <v>-15</v>
      </c>
      <c r="BN31" s="63" t="str">
        <f>IF(N28=0,"",IF(AW30&gt;=AW29,ROUND(AR29*AW30/AQ31/AG28/BB32,2),ROUNDUP(AR29*AW30/AQ31/AG28/BB32,2)))</f>
        <v/>
      </c>
      <c r="BO31" s="63" t="str">
        <f>IF(N27=0,"",IF(AW30&gt;=AW29,ROUND(AS29*AW30/AQ31/AG28/BC32,2),ROUNDUP(AS29*AW29/AQ31/AG28/BC32,2)))</f>
        <v/>
      </c>
      <c r="BQ31" s="3" t="s">
        <v>1002</v>
      </c>
      <c r="BR31" s="3">
        <f>IF(E32=0,0,+VALUE(RIGHT(E32,4)))</f>
        <v>0</v>
      </c>
      <c r="BT31" s="3" t="s">
        <v>1011</v>
      </c>
      <c r="BU31" s="3" t="e">
        <f>+BU29+BU30</f>
        <v>#N/A</v>
      </c>
      <c r="BV31" s="3" t="e">
        <f>+BV29+BV30</f>
        <v>#N/A</v>
      </c>
      <c r="BW31" s="3" t="s">
        <v>1018</v>
      </c>
      <c r="BX31" s="3" t="e">
        <f>+BU31*AQ31/2</f>
        <v>#N/A</v>
      </c>
      <c r="BY31" s="3" t="e">
        <f>5*BU31*POWER(AQ31,4)/(384*AS31)</f>
        <v>#N/A</v>
      </c>
      <c r="BZ31" s="800" t="s">
        <v>291</v>
      </c>
      <c r="CA31" s="3" t="e">
        <f>ROUND(L27/10*POWER(CA30,2)/6,0)</f>
        <v>#N/A</v>
      </c>
      <c r="CB31" s="800" t="s">
        <v>292</v>
      </c>
      <c r="CC31" s="3" t="e">
        <f>ROUND(L27/10*POWER(CA30,3)/12,0)</f>
        <v>#N/A</v>
      </c>
      <c r="CL31" s="3" t="s">
        <v>1018</v>
      </c>
      <c r="CM31" s="3">
        <f>+CM29*K31*100/2</f>
        <v>0</v>
      </c>
      <c r="CN31" s="3" t="e">
        <f>+CN29*K31*100/2</f>
        <v>#VALUE!</v>
      </c>
    </row>
    <row r="32" spans="2:103" ht="15" thickBot="1" x14ac:dyDescent="0.2">
      <c r="B32" s="1399"/>
      <c r="C32" s="1683" t="s">
        <v>1002</v>
      </c>
      <c r="D32" s="1684"/>
      <c r="E32" s="1150"/>
      <c r="F32" s="655" t="s">
        <v>1003</v>
      </c>
      <c r="G32" s="1151"/>
      <c r="H32" s="656" t="s">
        <v>1004</v>
      </c>
      <c r="I32" s="474"/>
      <c r="J32" s="657"/>
      <c r="K32" s="580"/>
      <c r="L32" s="1275"/>
      <c r="M32" s="1275"/>
      <c r="N32" s="302"/>
      <c r="O32" s="594"/>
      <c r="P32" s="594"/>
      <c r="Q32" s="594"/>
      <c r="R32" s="463"/>
      <c r="S32" s="325"/>
      <c r="T32" s="325"/>
      <c r="U32" s="324"/>
      <c r="V32" s="468"/>
      <c r="W32" s="1017" t="str">
        <f>+$K$169</f>
        <v/>
      </c>
      <c r="X32" s="324"/>
      <c r="Y32" s="324"/>
      <c r="Z32" s="324"/>
      <c r="AA32" s="324"/>
      <c r="AB32" s="324"/>
      <c r="AC32" s="463"/>
      <c r="AD32" s="325"/>
      <c r="AE32" s="302"/>
      <c r="AF32" s="324"/>
      <c r="AG32" s="325"/>
      <c r="AH32" s="325"/>
      <c r="AI32" s="594"/>
      <c r="AJ32" s="420"/>
      <c r="AK32" s="421"/>
      <c r="AL32" s="194"/>
      <c r="AP32" s="515" t="s">
        <v>984</v>
      </c>
      <c r="AQ32" s="3">
        <f>IF(F31=0,1,ROUND((F31+G31)/2,2))</f>
        <v>1</v>
      </c>
      <c r="AT32" s="615" t="s">
        <v>881</v>
      </c>
      <c r="AU32" s="3">
        <f>+BM31</f>
        <v>-15</v>
      </c>
      <c r="AV32" s="63">
        <f>ROUNDUP(IF(VALUE(RIGHT($G$10,3))=1,AW32*0.7,0),0)</f>
        <v>0</v>
      </c>
      <c r="AW32" s="63" t="e">
        <f>ROUNDUP(IF(VALUE(RIGHT($G$10,4))=1,$M$10*30*F27*100,$M$10*20*F27*100),0)</f>
        <v>#VALUE!</v>
      </c>
      <c r="AX32" s="10" t="e">
        <f>IF(AZ30=2,ROUND(VLOOKUP(AU30,許容応力!$B$6:$K$22,7)*1.1/3*100,0),ROUND(VLOOKUP(AU30,許容応力!$B$6:$K$22,7)*1.1/3*1.3*100,0))</f>
        <v>#VALUE!</v>
      </c>
      <c r="AY32" s="63" t="e">
        <f>ROUND(VLOOKUP(AU30,許容応力!$B$6:$K$22,7)*100*2/3*0.8,0)</f>
        <v>#VALUE!</v>
      </c>
      <c r="AZ32" s="10" t="e">
        <f>IF(AZ30=2,ROUND(VLOOKUP(AU30,許容応力!$B$6:$K$22,8)*1.1/3*100,0),ROUND(VLOOKUP(AU30,許容応力!$B$6:$K$22,8)*1.1/3*1.3*100,0))</f>
        <v>#VALUE!</v>
      </c>
      <c r="BA32" s="63" t="e">
        <f>ROUND(VLOOKUP(AU30,許容応力!$B$6:$K$22,8)*100*2/3*0.8,0)</f>
        <v>#VALUE!</v>
      </c>
      <c r="BB32" s="10" t="e">
        <f>IF(AZ30=2,ROUND(VLOOKUP(AU30,許容応力!$B$6:$K$22,9)*1.1/3*100,0),ROUND(VLOOKUP(AU30,許容応力!$B$6:$K$22,9)*1.1/3*1.3*100,0))</f>
        <v>#VALUE!</v>
      </c>
      <c r="BC32" s="63" t="e">
        <f>ROUND(VLOOKUP(AU30,許容応力!$B$6:$K$22,9)*100*2/3*0.8,0)</f>
        <v>#VALUE!</v>
      </c>
      <c r="BD32" s="63">
        <f>IF(AZ30=2,400,200)</f>
        <v>400</v>
      </c>
      <c r="BE32" s="63">
        <f>ROUND(AQ31/BD32,2)</f>
        <v>0</v>
      </c>
    </row>
    <row r="33" spans="2:103" x14ac:dyDescent="0.15">
      <c r="B33" s="1398" t="s">
        <v>1074</v>
      </c>
      <c r="C33" s="1685"/>
      <c r="D33" s="329"/>
      <c r="E33" s="1356"/>
      <c r="F33" s="1169" t="str">
        <f>IF(E33=0,"",ROUND(SQRT(COS(AU34*1.5*PI()/180)),3))</f>
        <v/>
      </c>
      <c r="G33" s="568" t="s">
        <v>962</v>
      </c>
      <c r="H33" s="568" t="s">
        <v>963</v>
      </c>
      <c r="I33" s="568" t="s">
        <v>965</v>
      </c>
      <c r="J33" s="564" t="s">
        <v>966</v>
      </c>
      <c r="K33" s="1653"/>
      <c r="L33" s="1654"/>
      <c r="M33" s="1229">
        <f>+IF(L33=0,0,"×")</f>
        <v>0</v>
      </c>
      <c r="N33" s="1295">
        <f>IF(L33=0,0,BB33)</f>
        <v>0</v>
      </c>
      <c r="O33" s="1296" t="str">
        <f>IF(W33=+"","",IF(AND(W33&lt;=1,X33&lt;=1,Z33&lt;=1,AA33&lt;=1),"OK!","NO!"))</f>
        <v/>
      </c>
      <c r="P33" s="1296">
        <f>IF(T33=0,0,IF(AND(R33=0,V37=0),0,IF(IF(Y33&gt;=AB33,Y33,AB33)&lt;=1,"OK!","NO!")))</f>
        <v>0</v>
      </c>
      <c r="Q33" s="1659"/>
      <c r="R33" s="1269"/>
      <c r="S33" s="1271">
        <f>IF(R33=0,0,+BR33)</f>
        <v>0</v>
      </c>
      <c r="T33" s="1253">
        <f>IF(AND(S37=0,R33=0),0,+IF(AND(VALUE(RIGHT(Q33,4))=2,S37&gt;0),0,IF(AND(VALUE(RIGHT(Q33,4))=1,R33&gt;0),0,CY33)))</f>
        <v>0</v>
      </c>
      <c r="U33" s="1257">
        <f>IF(R33=0,0,IF(BT36&gt;=BK36,BH36,BK36))</f>
        <v>0</v>
      </c>
      <c r="V33" s="1652"/>
      <c r="W33" s="1257" t="str">
        <f>IF(N33=0,"",ROUNDUP(BF36/AX38,2))</f>
        <v/>
      </c>
      <c r="X33" s="1257" t="str">
        <f>IF(N33=0,"",ROUND(BG36/BE38,2))</f>
        <v/>
      </c>
      <c r="Y33" s="1257">
        <f>IF(K33=0,0,IF(AND(R33=0,V37=0),0,IF(R33=0,ROUNDUP(CF33/(AZ38*$J$181*AR11*X37/100),2),+BS34)))</f>
        <v>0</v>
      </c>
      <c r="Z33" s="1257" t="str">
        <f>IF(N33=0,"",ROUNDUP(BI36/AY38,2))</f>
        <v/>
      </c>
      <c r="AA33" s="1257" t="str">
        <f>IF(N33=0,"",ROUNDUP(BJ36/BE38,2))</f>
        <v/>
      </c>
      <c r="AB33" s="1257">
        <f>IF(K33=0,0,IF(AND(R33=0,V37=0),0,IF(R33=0,ROUNDUP(CG33/(BA38*$L$181*AR11*X37/100),2),+BT34)))</f>
        <v>0</v>
      </c>
      <c r="AC33" s="162"/>
      <c r="AD33" s="447"/>
      <c r="AE33" s="430"/>
      <c r="AF33" s="428"/>
      <c r="AG33" s="1253">
        <f>IF(AC33=0,0,ROUND(AC33*AD33+AE33*AF33+AC34*AD34+AE34*AF34,2))</f>
        <v>0</v>
      </c>
      <c r="AH33" s="1253" t="str">
        <f>IF(AD33=0,"",IF(AN33=1,AM33/(AR11*X37),AM33))</f>
        <v/>
      </c>
      <c r="AI33" s="1255" t="str">
        <f>IF(AH33=+"","",IF(AH33&lt;=1,"OK!","NO!"))</f>
        <v/>
      </c>
      <c r="AJ33" s="191">
        <f>+IF(I37=0,0,"1/")</f>
        <v>0</v>
      </c>
      <c r="AK33" s="192">
        <f>IF(I37=0,0,+BD38)</f>
        <v>0</v>
      </c>
      <c r="AL33" s="194"/>
      <c r="AM33" s="3" t="e">
        <f>+IF(BN36&gt;=BO36,BN36+CW35,BO36+CX35)</f>
        <v>#VALUE!</v>
      </c>
      <c r="AN33" s="3">
        <f>IF(P37=0,0,+VALUE(RIGHT(P37,4)))</f>
        <v>0</v>
      </c>
      <c r="AO33" s="515" t="s">
        <v>878</v>
      </c>
      <c r="AP33" s="3">
        <f>ROUND((G34+H34)/2,2)</f>
        <v>0</v>
      </c>
      <c r="AR33" s="349" t="s">
        <v>707</v>
      </c>
      <c r="AS33" s="349" t="s">
        <v>703</v>
      </c>
      <c r="AT33" s="520" t="s">
        <v>241</v>
      </c>
      <c r="AU33" s="17" t="s">
        <v>83</v>
      </c>
      <c r="AV33" s="63" t="e">
        <f t="shared" ref="AV33:BA33" si="6">ROUNDUP(BC33/3,-1)*3</f>
        <v>#DIV/0!</v>
      </c>
      <c r="AW33" s="63" t="e">
        <f t="shared" si="6"/>
        <v>#VALUE!</v>
      </c>
      <c r="AX33" s="63" t="e">
        <f t="shared" si="6"/>
        <v>#VALUE!</v>
      </c>
      <c r="AY33" s="63" t="e">
        <f t="shared" si="6"/>
        <v>#DIV/0!</v>
      </c>
      <c r="AZ33" s="63" t="e">
        <f t="shared" si="6"/>
        <v>#VALUE!</v>
      </c>
      <c r="BA33" s="63" t="e">
        <f t="shared" si="6"/>
        <v>#VALUE!</v>
      </c>
      <c r="BB33" s="155" t="e">
        <f>+MAX(AV33:BA33)</f>
        <v>#DIV/0!</v>
      </c>
      <c r="BC33" s="63" t="e">
        <f>ROUND(SQRT(ROUND(BI33/AX38*6/(L33/10)/IF(V33=0,1,V33),1))*10,0)</f>
        <v>#DIV/0!</v>
      </c>
      <c r="BD33" s="3" t="e">
        <f>POWER(ROUNDUP(BJ33/(L33/10)*12,0)/IF(V33=0,1,V33)/BE38,1/3)*10</f>
        <v>#VALUE!</v>
      </c>
      <c r="BE33" s="3" t="e">
        <f>POWER(ROUND(BK33/(L33/10)*12,0)/IF(V33=0,1,V33)/BE38,1/3)*10</f>
        <v>#VALUE!</v>
      </c>
      <c r="BF33" s="63" t="e">
        <f>ROUND(SQRT(ROUND(BL33/AY38*6/(L33/10)/IF(V33=0,1,V33),1))*10,2)</f>
        <v>#DIV/0!</v>
      </c>
      <c r="BG33" s="3" t="e">
        <f>POWER(ROUND(BM33/(L33/10)*12,0)/IF(V33=0,1,V33)/BE38,1/3)*10</f>
        <v>#VALUE!</v>
      </c>
      <c r="BH33" s="3" t="e">
        <f>POWER(ROUND(BN33/(L33/10)*12,0)/IF(V33=0,1,V33)/BE38,1/3)*10</f>
        <v>#VALUE!</v>
      </c>
      <c r="BI33" s="63" t="e">
        <f>ROUNDUP(AW36*AW35/AQ37*AR35,1)+BX36+CM36</f>
        <v>#DIV/0!</v>
      </c>
      <c r="BJ33" s="63" t="e">
        <f>AR35*AW35*SQRT(POWER(BA35-AY35,3))/(9*SQRT(3)*AS37*(AW35+AW36))+BY37+CO36</f>
        <v>#VALUE!</v>
      </c>
      <c r="BK33" s="63" t="e">
        <f>AR35*AW36*SQRT(POWER(BA35-AY36,3))/(9*SQRT(3)*AS37*(AW35+AW36))+BY37+CO36</f>
        <v>#VALUE!</v>
      </c>
      <c r="BL33" s="63" t="e">
        <f>ROUNDUP(AW36*AW35/AQ37*AS35,1)+BX36+CN36</f>
        <v>#DIV/0!</v>
      </c>
      <c r="BM33" s="63" t="e">
        <f>AS35*AW35*SQRT(POWER(BA35-AY35,3))/(9*SQRT(3)*AS37*(AW35+AW36))+BY37+CO36</f>
        <v>#VALUE!</v>
      </c>
      <c r="BN33" s="63" t="e">
        <f>AS35*AW36*SQRT(POWER(BA35-AY36,3))/(9*SQRT(3)*AS37*(AW35+AW36))+BY37+CP36</f>
        <v>#VALUE!</v>
      </c>
      <c r="BO33" s="9" t="e">
        <f>IF(AW36&gt;=AW35,ROUNDUP(AR35*AW36/AQ37/BB38,2),ROUNDUP(AR35*AW35/AQ37/BB38,2))</f>
        <v>#DIV/0!</v>
      </c>
      <c r="BP33" s="9" t="e">
        <f>IF(AW36&gt;=AW35,ROUNDUP(AS35*AW36/AQ37/BC38,2),ROUNDUP(AS35*AW35/AQ37/BC38,2))</f>
        <v>#VALUE!</v>
      </c>
      <c r="BQ33" s="23" t="e">
        <f>IF(BO33&gt;=BP33,BO33,BP33)</f>
        <v>#DIV/0!</v>
      </c>
      <c r="BR33" s="9">
        <f>IF(N33=0,0,ROUNDUP(SQRT((U33*L33/10*N33/10)/(R33*R33)),2))</f>
        <v>0</v>
      </c>
      <c r="BS33" s="800" t="s">
        <v>473</v>
      </c>
      <c r="BT33" s="63" t="s">
        <v>474</v>
      </c>
      <c r="BU33" s="63" t="s">
        <v>201</v>
      </c>
      <c r="BV33" s="63" t="s">
        <v>202</v>
      </c>
      <c r="BW33" s="3">
        <v>1</v>
      </c>
      <c r="BX33" s="3">
        <v>2</v>
      </c>
      <c r="BY33" s="3">
        <v>3</v>
      </c>
      <c r="BZ33" s="3">
        <v>4</v>
      </c>
      <c r="CA33" s="3">
        <v>5</v>
      </c>
      <c r="CB33" s="3">
        <v>6</v>
      </c>
      <c r="CF33" s="442" t="e">
        <f>ROUND(IF($AW36&gt;=$AW35,$AW36,$AW35)/$AQ37*$AR35,1)+BX37+CM37</f>
        <v>#DIV/0!</v>
      </c>
      <c r="CG33" s="442" t="e">
        <f>ROUND(IF($AW36&gt;=$AW35,$AW36,$AW35)/$AQ37*$AS35,1)+BX37+CN37</f>
        <v>#DIV/0!</v>
      </c>
      <c r="CH33" s="443" t="e">
        <f>+AV33+CF36</f>
        <v>#DIV/0!</v>
      </c>
      <c r="CI33" s="548" t="e">
        <f>+AW33+CG36</f>
        <v>#VALUE!</v>
      </c>
      <c r="CJ33" s="548" t="e">
        <f>+AY33+CF36</f>
        <v>#DIV/0!</v>
      </c>
      <c r="CK33" s="548" t="e">
        <f>+AZ33+CG36</f>
        <v>#VALUE!</v>
      </c>
      <c r="CL33" s="545" t="e">
        <f>MAX(CH33:CK33)</f>
        <v>#DIV/0!</v>
      </c>
      <c r="CM33" s="63" t="s">
        <v>201</v>
      </c>
      <c r="CN33" s="63" t="s">
        <v>202</v>
      </c>
      <c r="CQ33" s="412" t="s">
        <v>1013</v>
      </c>
      <c r="CR33" s="349" t="s">
        <v>1014</v>
      </c>
      <c r="CS33" s="412" t="s">
        <v>1015</v>
      </c>
      <c r="CT33" s="412" t="s">
        <v>1013</v>
      </c>
      <c r="CU33" s="349" t="s">
        <v>1014</v>
      </c>
      <c r="CV33" s="412" t="s">
        <v>1015</v>
      </c>
      <c r="CW33" s="3" t="s">
        <v>1223</v>
      </c>
      <c r="CX33" s="3" t="s">
        <v>1224</v>
      </c>
      <c r="CY33" s="1253">
        <f>IF(AND(R33=0,V37=0),0,IF(S33=0,L$181*AR11*X37/100,ROUND(POWER(R33*S33,2)/(L33/10*N33/10),2)))</f>
        <v>0</v>
      </c>
    </row>
    <row r="34" spans="2:103" x14ac:dyDescent="0.15">
      <c r="B34" s="1398"/>
      <c r="C34" s="1686"/>
      <c r="D34" s="330"/>
      <c r="E34" s="1572"/>
      <c r="F34" s="1321"/>
      <c r="G34" s="1030"/>
      <c r="H34" s="1030"/>
      <c r="I34" s="1030"/>
      <c r="J34" s="448"/>
      <c r="K34" s="1672"/>
      <c r="L34" s="1653"/>
      <c r="M34" s="1285"/>
      <c r="N34" s="1258"/>
      <c r="O34" s="1258"/>
      <c r="P34" s="1297"/>
      <c r="Q34" s="1660"/>
      <c r="R34" s="1507"/>
      <c r="S34" s="1312"/>
      <c r="T34" s="1312"/>
      <c r="U34" s="1254"/>
      <c r="V34" s="1653"/>
      <c r="W34" s="1258"/>
      <c r="X34" s="1258"/>
      <c r="Y34" s="1254"/>
      <c r="Z34" s="1258"/>
      <c r="AA34" s="1258"/>
      <c r="AB34" s="1254"/>
      <c r="AC34" s="414"/>
      <c r="AD34" s="427"/>
      <c r="AE34" s="431"/>
      <c r="AF34" s="429"/>
      <c r="AG34" s="1254"/>
      <c r="AH34" s="1254"/>
      <c r="AI34" s="1256"/>
      <c r="AJ34" s="415">
        <f>+IF(I37=0,0,"1/")</f>
        <v>0</v>
      </c>
      <c r="AK34" s="416">
        <f>IF(I37=0,0,+BD38)</f>
        <v>0</v>
      </c>
      <c r="AL34" s="194"/>
      <c r="AO34" s="515" t="s">
        <v>879</v>
      </c>
      <c r="AP34" s="3">
        <f>ROUND((I34+J34)/2,2)</f>
        <v>0</v>
      </c>
      <c r="AQ34" s="479" t="s">
        <v>877</v>
      </c>
      <c r="AR34" s="632">
        <f>+準備!G57+AV38</f>
        <v>850</v>
      </c>
      <c r="AS34" s="632" t="e">
        <f>+準備!G57+AW38</f>
        <v>#VALUE!</v>
      </c>
      <c r="AT34" s="3">
        <f>+IF(OR(V34=0,V34=1),1,V34)</f>
        <v>1</v>
      </c>
      <c r="AU34" s="69">
        <f>ROUND(ATAN(E33/10)*180/PI(),4)</f>
        <v>0</v>
      </c>
      <c r="AV34" s="63" t="e">
        <f>IF(V34=0.8,VLOOKUP(BC34,$AR$397:$AS$442,2),IF(V34=0.9,VLOOKUP(BC34,$AR$350:$AS$395,2),VLOOKUP(BC34,$AR$303:$AS$348,2)))</f>
        <v>#DIV/0!</v>
      </c>
      <c r="AW34" s="63" t="e">
        <f>IF(V34=0.8,VLOOKUP(BD34,$AT$397:$AU$442,2),IF(V34=0.9,VLOOKUP(BD34,$AT$350:$AU$395,2),VLOOKUP(BD34,$AT$303:$AU$348,2)))</f>
        <v>#VALUE!</v>
      </c>
      <c r="AX34" s="63" t="e">
        <f>IF(V34=0.8,VLOOKUP(BE34,$AT$397:$AU$442,2),IF(V34=0.9,VLOOKUP(BE34,$AT$350:$AU$395,2),VLOOKUP(BE34,$AT$303:$AU$348,2)))</f>
        <v>#VALUE!</v>
      </c>
      <c r="AY34" s="63" t="e">
        <f>IF(V34=0.8,VLOOKUP(BF34,$AR$397:$AS$442,2),IF(V34=0.9,VLOOKUP(BF34,$AR$350:$AS$395,2),VLOOKUP(BF34,$AR$303:$AS$348,2)))</f>
        <v>#DIV/0!</v>
      </c>
      <c r="AZ34" s="63" t="e">
        <f>IF(V34=0.8,VLOOKUP(BG34,$AT$397:$AU$442,2),IF(V34=0.9,VLOOKUP(BG34,$AT$350:$AU$395,2),VLOOKUP(BG34,$AT$303:$AU$348,2)))</f>
        <v>#VALUE!</v>
      </c>
      <c r="BA34" s="63" t="e">
        <f>IF(V34=0.8,VLOOKUP(BH34,$AT$397:$AU$442,2),IF(V34=0.9,VLOOKUP(BH34,$AT$350:$AU$395,2),VLOOKUP(BH34,$AT$303:$AU$348,2)))</f>
        <v>#VALUE!</v>
      </c>
      <c r="BB34" s="155" t="e">
        <f>+MAX(AV34:BA34)</f>
        <v>#DIV/0!</v>
      </c>
      <c r="BC34" s="63" t="e">
        <f>ROUNDUP(BI34/AX38/IF(V34=0,1,V34),1)</f>
        <v>#DIV/0!</v>
      </c>
      <c r="BD34" s="63" t="e">
        <f>ROUNDUP(AR35*AW35*BE35/(9*SQRT(3)*AS37*AQ37*BE38)/AT34,2)</f>
        <v>#VALUE!</v>
      </c>
      <c r="BE34" s="63" t="e">
        <f>ROUNDUP(AR35*AW35*BE35/(9*SQRT(3)*AS37*AQ37*BE38)/AT34,2)</f>
        <v>#VALUE!</v>
      </c>
      <c r="BF34" s="63" t="e">
        <f>ROUNDUP(BL34/AY38/IF(V34=0,1,V34),1)</f>
        <v>#DIV/0!</v>
      </c>
      <c r="BG34" s="63" t="e">
        <f>ROUNDUP(AS35*AW35*BE35/(9*SQRT(3)*AS37*AQ37*BE38)/AT34,2)</f>
        <v>#VALUE!</v>
      </c>
      <c r="BH34" s="63" t="e">
        <f>ROUNDUP(AS35*AW36*BE35/(9*SQRT(3)*AS37*AQ37*BE38)/AT34,2)</f>
        <v>#VALUE!</v>
      </c>
      <c r="BI34" s="63" t="e">
        <f>ROUNDUP(AW35*AW36/AQ37*AR35,1)+BX36+CM36</f>
        <v>#DIV/0!</v>
      </c>
      <c r="BJ34" s="63" t="e">
        <f>+BJ33</f>
        <v>#VALUE!</v>
      </c>
      <c r="BK34" s="63" t="e">
        <f>+BK33</f>
        <v>#VALUE!</v>
      </c>
      <c r="BL34" s="63" t="e">
        <f>+BL33</f>
        <v>#DIV/0!</v>
      </c>
      <c r="BM34" s="63" t="e">
        <f>+BM33</f>
        <v>#VALUE!</v>
      </c>
      <c r="BN34" s="63" t="e">
        <f>+BN33</f>
        <v>#VALUE!</v>
      </c>
      <c r="BO34" s="9" t="e">
        <f>IF(AW36&gt;=AW35,ROUNDUP(AR35*AW36/AQ37/BB38,2),ROUNDUP(AR35*AW35/AQ37/BB38,2))</f>
        <v>#DIV/0!</v>
      </c>
      <c r="BP34" s="9" t="e">
        <f>IF(AW36&gt;=AW35,ROUNDUP(AS35*AW36/AQ37/BC38,2),ROUNDUP(AS35*AW35/AQ37/BC38,2))</f>
        <v>#VALUE!</v>
      </c>
      <c r="BQ34" s="23" t="e">
        <f>IF(BO34&gt;=BP34,BO34,BP34)</f>
        <v>#DIV/0!</v>
      </c>
      <c r="BR34" s="9">
        <f>IF(N34=0,0,ROUNDUP(SQRT(IF(Q34=0,(U34*(N34/10-5)*(N34/10-3)),(U34*(Q34/10-5)*(Q34/10-3)))/(R34*R34)),2))</f>
        <v>0</v>
      </c>
      <c r="BS34" s="63" t="str">
        <f>IF(N33=0,"",ROUND(CF33/(AZ38*T33),2))</f>
        <v/>
      </c>
      <c r="BT34" s="63" t="str">
        <f>IF(N33=0,"",ROUND(CG33/(BA38*T33),1))</f>
        <v/>
      </c>
      <c r="BU34" s="800" t="s">
        <v>269</v>
      </c>
      <c r="BV34" s="800" t="s">
        <v>269</v>
      </c>
      <c r="BW34" s="632">
        <f>+準備!$G$20/100</f>
        <v>4.5</v>
      </c>
      <c r="BX34" s="632">
        <f>+準備!$G$24/100</f>
        <v>11</v>
      </c>
      <c r="BY34" s="632">
        <f>+準備!$G$28/100</f>
        <v>14</v>
      </c>
      <c r="BZ34" s="632">
        <f>+準備!$G$32/100</f>
        <v>17.5</v>
      </c>
      <c r="CA34" s="632">
        <f>+準備!$G$36/100</f>
        <v>17.5</v>
      </c>
      <c r="CB34" s="632">
        <f>+準備!$G$38/100</f>
        <v>4</v>
      </c>
      <c r="CF34" s="548" t="e">
        <f>+IF($AW36&gt;=$AW35,$AW36*$AR35/($K37*100)+BX37,$AW35*$AR35/($K37*100)+BX37+CM37)</f>
        <v>#DIV/0!</v>
      </c>
      <c r="CG34" s="548" t="e">
        <f>+IF($AW36&gt;=$AW35,$AW36*$AS35/($K37*100)+BX37,$AW35*$AS35/($K37*100)+BX37+CN37)</f>
        <v>#VALUE!</v>
      </c>
      <c r="CH34" s="548" t="e">
        <f>+AV34+CF36</f>
        <v>#DIV/0!</v>
      </c>
      <c r="CI34" s="548" t="e">
        <f>+AW34+CG36</f>
        <v>#VALUE!</v>
      </c>
      <c r="CJ34" s="548" t="e">
        <f>+AY34+CF36</f>
        <v>#DIV/0!</v>
      </c>
      <c r="CK34" s="548" t="e">
        <f>+AZ34+CG36</f>
        <v>#VALUE!</v>
      </c>
      <c r="CL34" s="545" t="e">
        <f>MAX(CH34:CK34)</f>
        <v>#DIV/0!</v>
      </c>
      <c r="CM34" s="800" t="s">
        <v>269</v>
      </c>
      <c r="CN34" s="800" t="s">
        <v>269</v>
      </c>
      <c r="CO34" s="3" t="s">
        <v>189</v>
      </c>
      <c r="CQ34" s="3" t="e">
        <f>IF($BX36=0,0,ROUND(($BX36+$CM36)/$CA37,1))</f>
        <v>#N/A</v>
      </c>
      <c r="CR34" s="3" t="e">
        <f>IF($BY37=0,0,ROUND(($BY37+$CO36)/$CC37,2))</f>
        <v>#N/A</v>
      </c>
      <c r="CS34" s="3" t="e">
        <f>IF($BX37=0,0,ROUND(($BX37+$CM37)/$T33,1))</f>
        <v>#N/A</v>
      </c>
      <c r="CT34" s="3" t="e">
        <f>IF($BX36=0,0,ROUND(($BX36+$CN36)/$CA37,1))</f>
        <v>#N/A</v>
      </c>
      <c r="CU34" s="3" t="e">
        <f>IF($BY37=0,0,ROUND(($BY37+$CP36)/$CC37,2))</f>
        <v>#N/A</v>
      </c>
      <c r="CV34" s="3" t="e">
        <f>IF($BX37=0,0,ROUND(($BX37+$CN37)/$T33,1))</f>
        <v>#N/A</v>
      </c>
      <c r="CW34" s="3" t="e">
        <f>ROUND(VLOOKUP(VALUE(RIGHT($K33,4)),許容応力!$B$6:$K$22,9)*1.1/3*100,0)</f>
        <v>#VALUE!</v>
      </c>
      <c r="CX34" s="3" t="e">
        <f>ROUND(VLOOKUP(VALUE(RIGHT($K33,4)),許容応力!$B$6:$K$22,9)*2/3*0.8*100,0)</f>
        <v>#VALUE!</v>
      </c>
      <c r="CY34" s="1272"/>
    </row>
    <row r="35" spans="2:103" x14ac:dyDescent="0.15">
      <c r="B35" s="1398"/>
      <c r="C35" s="1217" t="s">
        <v>980</v>
      </c>
      <c r="D35" s="1403" t="s">
        <v>961</v>
      </c>
      <c r="E35" s="1404"/>
      <c r="F35" s="1407" t="s">
        <v>964</v>
      </c>
      <c r="G35" s="1408"/>
      <c r="H35" s="1239" t="s">
        <v>970</v>
      </c>
      <c r="I35" s="1215" t="s">
        <v>967</v>
      </c>
      <c r="J35" s="1397"/>
      <c r="K35" s="461"/>
      <c r="L35" s="451"/>
      <c r="M35" s="450"/>
      <c r="N35" s="451"/>
      <c r="O35" s="450"/>
      <c r="P35" s="451"/>
      <c r="Q35" s="878"/>
      <c r="R35" s="1307" t="s">
        <v>1154</v>
      </c>
      <c r="S35" s="1308"/>
      <c r="T35" s="1308"/>
      <c r="U35" s="1308"/>
      <c r="V35" s="1308"/>
      <c r="W35" s="1308"/>
      <c r="X35" s="1621"/>
      <c r="Y35" s="453"/>
      <c r="Z35" s="453"/>
      <c r="AA35" s="453"/>
      <c r="AB35" s="453"/>
      <c r="AC35" s="462"/>
      <c r="AD35" s="452"/>
      <c r="AE35" s="451"/>
      <c r="AF35" s="453"/>
      <c r="AG35" s="452"/>
      <c r="AH35" s="452"/>
      <c r="AI35" s="450"/>
      <c r="AJ35" s="454"/>
      <c r="AK35" s="455"/>
      <c r="AL35" s="194"/>
      <c r="AO35" s="637" t="s">
        <v>958</v>
      </c>
      <c r="AQ35" s="638" t="s">
        <v>994</v>
      </c>
      <c r="AR35" s="3">
        <f>ROUND(AR34*AP33*AP34,0)</f>
        <v>0</v>
      </c>
      <c r="AS35" s="3" t="e">
        <f>ROUND(AS34*AP33*AP34,0)</f>
        <v>#VALUE!</v>
      </c>
      <c r="AT35" s="639" t="e">
        <f>+VALUE(RIGHT(K33,4))</f>
        <v>#VALUE!</v>
      </c>
      <c r="AU35" s="639" t="e">
        <f>+VLOOKUP(VALUE(RIGHT(K33,4)),$G$387:$J$397,3)</f>
        <v>#VALUE!</v>
      </c>
      <c r="AV35" s="377" t="s">
        <v>986</v>
      </c>
      <c r="AW35" s="640">
        <f>+J37*100</f>
        <v>0</v>
      </c>
      <c r="AX35" s="3" t="s">
        <v>988</v>
      </c>
      <c r="AY35" s="3">
        <f>+POWER(AW35,2)</f>
        <v>0</v>
      </c>
      <c r="AZ35" s="3" t="s">
        <v>990</v>
      </c>
      <c r="BA35" s="3">
        <f>+POWER(AQ37,2)</f>
        <v>0</v>
      </c>
      <c r="BB35" s="3" t="s">
        <v>999</v>
      </c>
      <c r="BC35" s="3">
        <f>+BA35-AY35</f>
        <v>0</v>
      </c>
      <c r="BD35" s="3" t="s">
        <v>992</v>
      </c>
      <c r="BE35" s="3">
        <f>SQRT(+POWER(BC35,3))</f>
        <v>0</v>
      </c>
      <c r="BF35" s="52" t="s">
        <v>287</v>
      </c>
      <c r="BG35" s="800" t="s">
        <v>288</v>
      </c>
      <c r="BH35" s="52" t="s">
        <v>490</v>
      </c>
      <c r="BI35" s="52" t="s">
        <v>289</v>
      </c>
      <c r="BJ35" s="800" t="s">
        <v>290</v>
      </c>
      <c r="BK35" s="52" t="s">
        <v>493</v>
      </c>
      <c r="BL35" s="800" t="s">
        <v>291</v>
      </c>
      <c r="BM35" s="800" t="s">
        <v>292</v>
      </c>
      <c r="BN35" s="412" t="s">
        <v>1020</v>
      </c>
      <c r="BO35" s="412" t="s">
        <v>1021</v>
      </c>
      <c r="BS35" s="63" t="str">
        <f>+BS34</f>
        <v/>
      </c>
      <c r="BT35" s="63" t="str">
        <f>+BT34</f>
        <v/>
      </c>
      <c r="BU35" s="87" t="e">
        <f>IF(OR(BR36=0,BR36=1),0,ROUNDUP((準備!$G$60/100+準備!$D$48/100)*((F37+G37)/2*100)/200,2))</f>
        <v>#N/A</v>
      </c>
      <c r="BV35" s="87" t="e">
        <f>+BU35</f>
        <v>#N/A</v>
      </c>
      <c r="BW35" s="3">
        <f t="shared" ref="BW35:CB35" si="7">ROUND(BW34*$I38,2)</f>
        <v>0</v>
      </c>
      <c r="BX35" s="3">
        <f t="shared" si="7"/>
        <v>0</v>
      </c>
      <c r="BY35" s="3">
        <f t="shared" si="7"/>
        <v>0</v>
      </c>
      <c r="BZ35" s="3">
        <f t="shared" si="7"/>
        <v>0</v>
      </c>
      <c r="CA35" s="3">
        <f t="shared" si="7"/>
        <v>0</v>
      </c>
      <c r="CB35" s="3">
        <f t="shared" si="7"/>
        <v>0</v>
      </c>
      <c r="CF35" s="412" t="s">
        <v>1065</v>
      </c>
      <c r="CG35" s="349" t="s">
        <v>1066</v>
      </c>
      <c r="CH35" s="412" t="s">
        <v>1067</v>
      </c>
      <c r="CM35" s="87">
        <f>IF(OR($BR36=0,$BR36=1),0,ROUND((準備!$G$6+$AV38)*$G37/200,2))</f>
        <v>0</v>
      </c>
      <c r="CN35" s="87" t="e">
        <f>IF(OR($BR36=0,$BR36=1),0,ROUND((準備!$G$6+$AW38)*$G37/200,2))</f>
        <v>#VALUE!</v>
      </c>
      <c r="CO35" s="3" t="s">
        <v>168</v>
      </c>
      <c r="CP35" s="3" t="s">
        <v>203</v>
      </c>
      <c r="CQ35" s="412" t="s">
        <v>1065</v>
      </c>
      <c r="CR35" s="349" t="s">
        <v>1066</v>
      </c>
      <c r="CS35" s="412" t="s">
        <v>1067</v>
      </c>
      <c r="CT35" s="412" t="s">
        <v>1065</v>
      </c>
      <c r="CU35" s="349" t="s">
        <v>1066</v>
      </c>
      <c r="CV35" s="412" t="s">
        <v>1067</v>
      </c>
      <c r="CW35" s="3" t="e">
        <f>ROUND($CM$17*K37*100/2/CW34/AG33,2)</f>
        <v>#VALUE!</v>
      </c>
      <c r="CX35" s="3" t="e">
        <f>ROUND(CN35*K37*100/2/CX34/AG33,2)</f>
        <v>#VALUE!</v>
      </c>
    </row>
    <row r="36" spans="2:103" x14ac:dyDescent="0.15">
      <c r="B36" s="1398"/>
      <c r="C36" s="1402"/>
      <c r="D36" s="1405"/>
      <c r="E36" s="1406"/>
      <c r="F36" s="411" t="s">
        <v>971</v>
      </c>
      <c r="G36" s="591" t="s">
        <v>972</v>
      </c>
      <c r="H36" s="1409"/>
      <c r="I36" s="586" t="s">
        <v>981</v>
      </c>
      <c r="J36" s="592" t="s">
        <v>982</v>
      </c>
      <c r="K36" s="440" t="s">
        <v>1011</v>
      </c>
      <c r="L36" s="1342"/>
      <c r="M36" s="1342"/>
      <c r="N36" s="302"/>
      <c r="O36" s="594"/>
      <c r="P36" s="1342"/>
      <c r="Q36" s="1406"/>
      <c r="R36" s="877" t="s">
        <v>1265</v>
      </c>
      <c r="S36" s="877" t="s">
        <v>1266</v>
      </c>
      <c r="T36" s="877" t="s">
        <v>1267</v>
      </c>
      <c r="U36" s="877" t="s">
        <v>1260</v>
      </c>
      <c r="V36" s="877" t="s">
        <v>1268</v>
      </c>
      <c r="W36" s="440" t="s">
        <v>1151</v>
      </c>
      <c r="X36" s="440" t="s">
        <v>1153</v>
      </c>
      <c r="Y36" s="324"/>
      <c r="Z36" s="324"/>
      <c r="AA36" s="324"/>
      <c r="AB36" s="324"/>
      <c r="AC36" s="463"/>
      <c r="AD36" s="325"/>
      <c r="AE36" s="302"/>
      <c r="AF36" s="324"/>
      <c r="AG36" s="325"/>
      <c r="AH36" s="325"/>
      <c r="AI36" s="594"/>
      <c r="AJ36" s="420"/>
      <c r="AK36" s="421"/>
      <c r="AL36" s="194"/>
      <c r="AP36" s="3" t="s">
        <v>790</v>
      </c>
      <c r="AQ36" s="3">
        <f>+L33</f>
        <v>0</v>
      </c>
      <c r="AR36" s="3" t="s">
        <v>985</v>
      </c>
      <c r="AS36" s="3">
        <f>+N33</f>
        <v>0</v>
      </c>
      <c r="AT36" s="3" t="s">
        <v>15</v>
      </c>
      <c r="AU36" s="3" t="e">
        <f>+VALUE(RIGHT(K33,4))</f>
        <v>#VALUE!</v>
      </c>
      <c r="AV36" s="377" t="s">
        <v>987</v>
      </c>
      <c r="AW36" s="640">
        <f>+I37*100</f>
        <v>0</v>
      </c>
      <c r="AX36" s="3" t="s">
        <v>989</v>
      </c>
      <c r="AY36" s="3">
        <f>+POWER(AW36,2)</f>
        <v>0</v>
      </c>
      <c r="AZ36" s="409">
        <f>+VALUE(RIGHT($G$10,3))</f>
        <v>2</v>
      </c>
      <c r="BB36" s="3" t="s">
        <v>991</v>
      </c>
      <c r="BC36" s="3">
        <f>+BA35-AY36</f>
        <v>0</v>
      </c>
      <c r="BD36" s="3" t="s">
        <v>993</v>
      </c>
      <c r="BE36" s="3">
        <f>SQRT(+POWER(BC36,3))</f>
        <v>0</v>
      </c>
      <c r="BF36" s="3" t="e">
        <f>ROUND((BI33)/BL36,1)</f>
        <v>#DIV/0!</v>
      </c>
      <c r="BG36" s="3" t="e">
        <f>+IF(AW36&gt;=AW35,BJ33/AU37,BK33/AU37)</f>
        <v>#VALUE!</v>
      </c>
      <c r="BH36" s="63" t="e">
        <f>+CF33/AZ38</f>
        <v>#DIV/0!</v>
      </c>
      <c r="BI36" s="3" t="e">
        <f>ROUND(BL33/BL36,1)</f>
        <v>#DIV/0!</v>
      </c>
      <c r="BJ36" s="3" t="e">
        <f>+IF(AW36&gt;=AW35,BM33/AU37,BN33/AU37)</f>
        <v>#VALUE!</v>
      </c>
      <c r="BK36" s="63" t="e">
        <f>+CG33/BA38</f>
        <v>#DIV/0!</v>
      </c>
      <c r="BL36" s="63">
        <f>ROUNDDOWN(L33/10*POWER(N33/10,2)/6*IF(OR(V33=0,V33=1),1,V33),0)</f>
        <v>0</v>
      </c>
      <c r="BM36" s="63">
        <f>ROUNDDOWN(L33/10*POWER(N33/10,3)/12*IF(OR(V33=0,V33=1),1,V33),0)</f>
        <v>0</v>
      </c>
      <c r="BN36" s="63" t="str">
        <f>IF(N33=0,"",IF(AW36&gt;=AW35,ROUND(AR35*AW36/AQ37/AG33/BB38,2),ROUNDUP(AR35*AW35/AQ37/AG33/BB38,2)))</f>
        <v/>
      </c>
      <c r="BO36" s="63" t="str">
        <f>IF(N33=0,"",IF(AW36&gt;=AW35,ROUND(AS35*AW36/AQ37/AG33/BC38,2),ROUNDUP(AS35*AW35/AQ37/AG33/BC38,2)))</f>
        <v/>
      </c>
      <c r="BQ36" s="3" t="s">
        <v>1012</v>
      </c>
      <c r="BR36" s="3">
        <f>IF(D35=0,0,+VALUE(RIGHT(D35,4)))</f>
        <v>2</v>
      </c>
      <c r="BS36" s="3" t="s">
        <v>1003</v>
      </c>
      <c r="BT36" s="3">
        <f>IF(G38=0,0,+VALUE(RIGHT(G38,4)))</f>
        <v>0</v>
      </c>
      <c r="BU36" s="3">
        <f>IF(OR(BR37=0,BR37=2),0,HLOOKUP(BT36,BW33:CB35,3))</f>
        <v>0</v>
      </c>
      <c r="BV36" s="3">
        <f>+BU36</f>
        <v>0</v>
      </c>
      <c r="BW36" s="3" t="s">
        <v>1019</v>
      </c>
      <c r="BX36" s="3" t="e">
        <f>BU37*POWER(AQ37,2)/8</f>
        <v>#N/A</v>
      </c>
      <c r="BY36" s="3" t="s">
        <v>189</v>
      </c>
      <c r="BZ36" s="3" t="s">
        <v>782</v>
      </c>
      <c r="CA36" s="3" t="e">
        <f>ROUNDUP(+SQRT((BX36+CM36)*6/(AX38*L33/10)),0)</f>
        <v>#N/A</v>
      </c>
      <c r="CF36" s="3" t="e">
        <f>+ROUNDUP(CQ36/3,-1)*3</f>
        <v>#N/A</v>
      </c>
      <c r="CG36" s="3" t="e">
        <f>ROUNDUP(CR36/3,-1)*3</f>
        <v>#N/A</v>
      </c>
      <c r="CH36" s="3" t="e">
        <f>ROUNDUP(CS36/3,-1)*3</f>
        <v>#N/A</v>
      </c>
      <c r="CL36" s="3" t="s">
        <v>1019</v>
      </c>
      <c r="CM36" s="3">
        <f>+CM35*POWER(K37*100,2)/8</f>
        <v>0</v>
      </c>
      <c r="CN36" s="3" t="e">
        <f>+CN35*POWER(K37*100,2)/8</f>
        <v>#VALUE!</v>
      </c>
      <c r="CO36" s="3" t="e">
        <f>5*CM35*POWER(AQ37,4)/(384*AS37)</f>
        <v>#VALUE!</v>
      </c>
      <c r="CP36" s="3" t="e">
        <f>5*CN35*POWER(AQ37,4)/(384*AS37)</f>
        <v>#VALUE!</v>
      </c>
      <c r="CQ36" s="3" t="e">
        <f>+CQ34/AX38</f>
        <v>#N/A</v>
      </c>
      <c r="CR36" s="3" t="e">
        <f>+CR34/BE38</f>
        <v>#N/A</v>
      </c>
      <c r="CS36" s="3" t="e">
        <f>+CS34/AZ38</f>
        <v>#N/A</v>
      </c>
      <c r="CT36" s="3" t="e">
        <f>+CT34/AX38</f>
        <v>#N/A</v>
      </c>
      <c r="CU36" s="3" t="e">
        <f>+CU34/BE38</f>
        <v>#N/A</v>
      </c>
      <c r="CV36" s="3" t="e">
        <f>+CV34/AZ38</f>
        <v>#N/A</v>
      </c>
    </row>
    <row r="37" spans="2:103" ht="14.25" customHeight="1" x14ac:dyDescent="0.15">
      <c r="B37" s="1398"/>
      <c r="C37" s="1219"/>
      <c r="D37" s="1322"/>
      <c r="E37" s="1211"/>
      <c r="F37" s="1031"/>
      <c r="G37" s="1031"/>
      <c r="H37" s="1410"/>
      <c r="I37" s="1031"/>
      <c r="J37" s="413"/>
      <c r="K37" s="464">
        <f>+I37+J37</f>
        <v>0</v>
      </c>
      <c r="L37" s="302"/>
      <c r="M37" s="594"/>
      <c r="N37" s="302"/>
      <c r="O37" s="594"/>
      <c r="P37" s="1382"/>
      <c r="Q37" s="1406"/>
      <c r="R37" s="1029"/>
      <c r="S37" s="1029"/>
      <c r="T37" s="882">
        <f>+IF(S37=0,0,6)</f>
        <v>0</v>
      </c>
      <c r="U37" s="1029"/>
      <c r="V37" s="1029"/>
      <c r="W37" s="574" t="str">
        <f>+$L$170</f>
        <v/>
      </c>
      <c r="X37" s="574">
        <f>IF(V37=0,0,+VLOOKUP(W37,$I$189:$J$194,2))</f>
        <v>0</v>
      </c>
      <c r="Y37" s="324"/>
      <c r="Z37" s="324"/>
      <c r="AA37" s="324"/>
      <c r="AB37" s="324"/>
      <c r="AC37" s="463"/>
      <c r="AD37" s="325"/>
      <c r="AE37" s="302"/>
      <c r="AF37" s="324"/>
      <c r="AG37" s="325"/>
      <c r="AH37" s="325"/>
      <c r="AI37" s="594"/>
      <c r="AJ37" s="420"/>
      <c r="AK37" s="421"/>
      <c r="AL37" s="194"/>
      <c r="AP37" s="3" t="s">
        <v>983</v>
      </c>
      <c r="AQ37" s="641">
        <f>(+I37+J37)*100</f>
        <v>0</v>
      </c>
      <c r="AR37" s="615" t="s">
        <v>880</v>
      </c>
      <c r="AS37" s="642" t="e">
        <f>+VLOOKUP(VALUE(RIGHT(K33,4)),許容応力!$B$6:$K$22,10)*100</f>
        <v>#VALUE!</v>
      </c>
      <c r="AT37" s="615" t="s">
        <v>881</v>
      </c>
      <c r="AU37" s="520">
        <f>+BM36</f>
        <v>0</v>
      </c>
      <c r="AV37" s="18" t="s">
        <v>209</v>
      </c>
      <c r="AW37" s="18" t="s">
        <v>210</v>
      </c>
      <c r="AX37" s="3" t="s">
        <v>997</v>
      </c>
      <c r="AY37" s="3" t="s">
        <v>294</v>
      </c>
      <c r="AZ37" s="52" t="s">
        <v>498</v>
      </c>
      <c r="BA37" s="52" t="s">
        <v>499</v>
      </c>
      <c r="BB37" s="52" t="s">
        <v>500</v>
      </c>
      <c r="BC37" s="52" t="s">
        <v>501</v>
      </c>
      <c r="BD37" s="800" t="s">
        <v>295</v>
      </c>
      <c r="BE37" s="800" t="s">
        <v>296</v>
      </c>
      <c r="BF37" s="3" t="e">
        <f>ROUND(BI34/BL37,1)</f>
        <v>#DIV/0!</v>
      </c>
      <c r="BG37" s="3" t="e">
        <f>+IF(AW36&gt;=AW35,BJ34/AU38,BK34/AU38)</f>
        <v>#VALUE!</v>
      </c>
      <c r="BH37" s="63" t="e">
        <f>+BH36</f>
        <v>#DIV/0!</v>
      </c>
      <c r="BI37" s="3" t="e">
        <f>ROUND(BL34/BL37,1)</f>
        <v>#DIV/0!</v>
      </c>
      <c r="BJ37" s="3" t="e">
        <f>+IF(AW36&gt;=AW35,BM34/AU38,BN34/AU38)</f>
        <v>#VALUE!</v>
      </c>
      <c r="BK37" s="63" t="e">
        <f>+BK36</f>
        <v>#DIV/0!</v>
      </c>
      <c r="BL37" s="63">
        <f>IF(N34&lt;180,ROUND((N34/10-3)*POWER($N34/10-3,2)/6*IF(V34=0,1,V34),0),ROUND((N34/10-5)*POWER(N34/10-3,2)/6*IF($V34=0,1,$V34),0))</f>
        <v>-5</v>
      </c>
      <c r="BM37" s="63">
        <f>ROUND(IF(N34&lt;180,(N34/10-3)*POWER((N34/10-3),3)/12*IF(V34=0,1,V34),(N34/10-5))*POWER((N34/10-3),3)/12*IF(V34=0,1,V34),0)</f>
        <v>-15</v>
      </c>
      <c r="BN37" s="63" t="str">
        <f>IF(N34=0,"",IF(AW36&gt;=AW35,ROUND(AR35*AW36/AQ37/AG34/BB38,2),ROUNDUP(AR35*AW36/AQ37/AG34/BB38,2)))</f>
        <v/>
      </c>
      <c r="BO37" s="63" t="str">
        <f>IF(N33=0,"",IF(AW36&gt;=AW35,ROUND(AS35*AW36/AQ37/AG34/BC38,2),ROUNDUP(AS35*AW35/AQ37/AG34/BC38,2)))</f>
        <v/>
      </c>
      <c r="BQ37" s="3" t="s">
        <v>1002</v>
      </c>
      <c r="BR37" s="3">
        <f>IF(E38=0,0,+VALUE(RIGHT(E38,4)))</f>
        <v>0</v>
      </c>
      <c r="BT37" s="3" t="s">
        <v>1011</v>
      </c>
      <c r="BU37" s="3" t="e">
        <f>+BU35+BU36</f>
        <v>#N/A</v>
      </c>
      <c r="BV37" s="3" t="e">
        <f>+BV35+BV36</f>
        <v>#N/A</v>
      </c>
      <c r="BW37" s="3" t="s">
        <v>1018</v>
      </c>
      <c r="BX37" s="3" t="e">
        <f>+BU37*AQ37/2</f>
        <v>#N/A</v>
      </c>
      <c r="BY37" s="3" t="e">
        <f>5*BU37*POWER(AQ37,4)/(384*AS37)</f>
        <v>#N/A</v>
      </c>
      <c r="BZ37" s="800" t="s">
        <v>291</v>
      </c>
      <c r="CA37" s="3" t="e">
        <f>ROUND(L33/10*POWER(CA36,2)/6,0)</f>
        <v>#N/A</v>
      </c>
      <c r="CB37" s="800" t="s">
        <v>292</v>
      </c>
      <c r="CC37" s="3" t="e">
        <f>ROUND(L33/10*POWER(CA36,3)/12,0)</f>
        <v>#N/A</v>
      </c>
      <c r="CL37" s="3" t="s">
        <v>1018</v>
      </c>
      <c r="CM37" s="3">
        <f>+CM35*K37*100/2</f>
        <v>0</v>
      </c>
      <c r="CN37" s="3" t="e">
        <f>+CN35*K37*100/2</f>
        <v>#VALUE!</v>
      </c>
    </row>
    <row r="38" spans="2:103" ht="15" thickBot="1" x14ac:dyDescent="0.2">
      <c r="B38" s="1399"/>
      <c r="C38" s="1670" t="s">
        <v>1002</v>
      </c>
      <c r="D38" s="1214"/>
      <c r="E38" s="1150"/>
      <c r="F38" s="658" t="s">
        <v>1003</v>
      </c>
      <c r="G38" s="1135"/>
      <c r="H38" s="586" t="s">
        <v>1004</v>
      </c>
      <c r="I38" s="660"/>
      <c r="J38" s="539"/>
      <c r="K38" s="580"/>
      <c r="L38" s="1275"/>
      <c r="M38" s="1275"/>
      <c r="N38" s="302"/>
      <c r="O38" s="594"/>
      <c r="P38" s="594"/>
      <c r="Q38" s="594"/>
      <c r="R38" s="463"/>
      <c r="S38" s="325"/>
      <c r="T38" s="325"/>
      <c r="U38" s="324"/>
      <c r="V38" s="468"/>
      <c r="W38" s="1017" t="str">
        <f>+$L$169</f>
        <v/>
      </c>
      <c r="X38" s="324"/>
      <c r="Y38" s="324"/>
      <c r="Z38" s="324"/>
      <c r="AA38" s="324"/>
      <c r="AB38" s="324"/>
      <c r="AC38" s="463"/>
      <c r="AD38" s="325"/>
      <c r="AE38" s="302"/>
      <c r="AF38" s="324"/>
      <c r="AG38" s="325"/>
      <c r="AH38" s="325"/>
      <c r="AI38" s="594"/>
      <c r="AJ38" s="420"/>
      <c r="AK38" s="421"/>
      <c r="AL38" s="194"/>
      <c r="AP38" s="515" t="s">
        <v>984</v>
      </c>
      <c r="AQ38" s="3">
        <f>IF(F37=0,1,ROUND((F37+G37)/2,2))</f>
        <v>1</v>
      </c>
      <c r="AT38" s="615" t="s">
        <v>881</v>
      </c>
      <c r="AU38" s="3">
        <f>+BM37</f>
        <v>-15</v>
      </c>
      <c r="AV38" s="63">
        <f>ROUNDUP(IF(VALUE(RIGHT($G$10,3))=1,AW38*0.7,0),0)</f>
        <v>0</v>
      </c>
      <c r="AW38" s="63" t="e">
        <f>ROUNDUP(IF(VALUE(RIGHT($G$10,4))=1,$M$10*30*F33*100,$M$10*20*F33*100),0)</f>
        <v>#VALUE!</v>
      </c>
      <c r="AX38" s="10" t="e">
        <f>IF(AZ36=2,ROUND(VLOOKUP(AU36,許容応力!$B$6:$K$22,7)*1.1/3*100,0),ROUND(VLOOKUP(AU36,許容応力!$B$6:$K$22,7)*1.1/3*1.3*100,0))</f>
        <v>#VALUE!</v>
      </c>
      <c r="AY38" s="63" t="e">
        <f>ROUND(VLOOKUP(AU36,許容応力!$B$6:$K$22,7)*100*2/3*0.8,0)</f>
        <v>#VALUE!</v>
      </c>
      <c r="AZ38" s="10" t="e">
        <f>IF(AZ36=2,ROUND(VLOOKUP(AU36,許容応力!$B$6:$K$22,8)*1.1/3*100,0),ROUND(VLOOKUP(AU36,許容応力!$B$6:$K$22,8)*1.1/3*1.3*100,0))</f>
        <v>#VALUE!</v>
      </c>
      <c r="BA38" s="63" t="e">
        <f>ROUND(VLOOKUP(AU36,許容応力!$B$6:$K$22,8)*100*2/3*0.8,0)</f>
        <v>#VALUE!</v>
      </c>
      <c r="BB38" s="10" t="e">
        <f>IF(AZ36=2,ROUND(VLOOKUP(AU36,許容応力!$B$6:$K$22,9)*1.1/3*100,0),ROUND(VLOOKUP(AU36,許容応力!$B$6:$K$22,9)*1.1/3*1.3*100,0))</f>
        <v>#VALUE!</v>
      </c>
      <c r="BC38" s="63" t="e">
        <f>ROUND(VLOOKUP(AU36,許容応力!$B$6:$K$22,9)*100*2/3*0.8,0)</f>
        <v>#VALUE!</v>
      </c>
      <c r="BD38" s="63">
        <f>IF(AZ36=2,400,200)</f>
        <v>400</v>
      </c>
      <c r="BE38" s="63">
        <f>ROUND(AQ37/BD38,2)</f>
        <v>0</v>
      </c>
    </row>
    <row r="39" spans="2:103" x14ac:dyDescent="0.15">
      <c r="B39" s="1398" t="s">
        <v>1074</v>
      </c>
      <c r="C39" s="1685"/>
      <c r="D39" s="329"/>
      <c r="E39" s="1356"/>
      <c r="F39" s="1169" t="str">
        <f>IF(E39=0,"",ROUND(SQRT(COS(AU40*1.5*PI()/180)),3))</f>
        <v/>
      </c>
      <c r="G39" s="568" t="s">
        <v>962</v>
      </c>
      <c r="H39" s="568" t="s">
        <v>963</v>
      </c>
      <c r="I39" s="568" t="s">
        <v>965</v>
      </c>
      <c r="J39" s="564" t="s">
        <v>966</v>
      </c>
      <c r="K39" s="1653"/>
      <c r="L39" s="1654"/>
      <c r="M39" s="1229">
        <f>+IF(L39=0,0,"×")</f>
        <v>0</v>
      </c>
      <c r="N39" s="1295">
        <f>IF(L39=0,0,BB39)</f>
        <v>0</v>
      </c>
      <c r="O39" s="1296" t="str">
        <f>IF(W39=+"","",IF(AND(W39&lt;=1,X39&lt;=1,Z39&lt;=1,AA39&lt;=1),"OK!","NO!"))</f>
        <v/>
      </c>
      <c r="P39" s="1296">
        <f>IF(T39=0,0,IF(AND(R39=0,V43=0),0,IF(IF(Y39&gt;=AB39,Y39,AB39)&lt;=1,"OK!","NO!")))</f>
        <v>0</v>
      </c>
      <c r="Q39" s="1659"/>
      <c r="R39" s="1269"/>
      <c r="S39" s="1271">
        <f>IF(R39=0,0,+BR39)</f>
        <v>0</v>
      </c>
      <c r="T39" s="1253">
        <f>IF(AND(S43=0,R39=0),0,+IF(AND(VALUE(RIGHT(Q39,4))=2,S43&gt;0),0,IF(AND(VALUE(RIGHT(Q39,4))=1,R39&gt;0),0,CY39)))</f>
        <v>0</v>
      </c>
      <c r="U39" s="1257">
        <f>IF(R39=0,0,IF(BT42&gt;=BK42,BH42,BK42))</f>
        <v>0</v>
      </c>
      <c r="V39" s="1652"/>
      <c r="W39" s="1257" t="str">
        <f>IF(N39=0,"",ROUNDUP(BF42/AX44,2))</f>
        <v/>
      </c>
      <c r="X39" s="1257" t="str">
        <f>IF(N39=0,"",ROUND(BG42/BE44,2))</f>
        <v/>
      </c>
      <c r="Y39" s="1257">
        <f>IF(K39=0,0,IF(AND(R39=0,V43=0),0,IF(R39=0,ROUNDUP(CF39/(AZ44*$J$181*AR11*X43/100),2),+BS40)))</f>
        <v>0</v>
      </c>
      <c r="Z39" s="1257" t="str">
        <f>IF(N39=0,"",ROUNDUP(BI42/AY44,2))</f>
        <v/>
      </c>
      <c r="AA39" s="1257" t="str">
        <f>IF(N39=0,"",ROUNDUP(BJ42/BE44,2))</f>
        <v/>
      </c>
      <c r="AB39" s="1257">
        <f>IF(K39=0,0,IF(AND(R39=0,V43=0),0,IF(R39=0,ROUNDUP(CG39/(BA44*$M$181*AR11*X43/100),2),+BT40)))</f>
        <v>0</v>
      </c>
      <c r="AC39" s="162"/>
      <c r="AD39" s="447"/>
      <c r="AE39" s="430"/>
      <c r="AF39" s="428"/>
      <c r="AG39" s="1253">
        <f>IF(AC39=0,0,ROUND(AC39*AD39+AE39*AF39+AC40*AD40+AE40*AF40,2))</f>
        <v>0</v>
      </c>
      <c r="AH39" s="1253" t="str">
        <f>IF(AD39=0,"",IF(AN39=1,AM39/(AR11*X43),AM39))</f>
        <v/>
      </c>
      <c r="AI39" s="1255" t="str">
        <f>IF(AH39=+"","",IF(AH39&lt;=1,"OK!","NO!"))</f>
        <v/>
      </c>
      <c r="AJ39" s="191">
        <f>+IF(I43=0,0,"1/")</f>
        <v>0</v>
      </c>
      <c r="AK39" s="192">
        <f>IF(I43=0,0,+BD44)</f>
        <v>0</v>
      </c>
      <c r="AL39" s="194"/>
      <c r="AM39" s="3" t="e">
        <f>+IF(BN42&gt;=BO42,BN42+CW41,BO42+CX41)</f>
        <v>#VALUE!</v>
      </c>
      <c r="AN39" s="3">
        <f>IF(P43=0,0,+VALUE(RIGHT(P43,4)))</f>
        <v>0</v>
      </c>
      <c r="AO39" s="515" t="s">
        <v>878</v>
      </c>
      <c r="AP39" s="3">
        <f>ROUND((G40+H40)/2,2)</f>
        <v>0</v>
      </c>
      <c r="AR39" s="349" t="s">
        <v>707</v>
      </c>
      <c r="AS39" s="349" t="s">
        <v>703</v>
      </c>
      <c r="AT39" s="520" t="s">
        <v>241</v>
      </c>
      <c r="AU39" s="17" t="s">
        <v>83</v>
      </c>
      <c r="AV39" s="63" t="e">
        <f t="shared" ref="AV39:BA39" si="8">ROUNDUP(BC39/3,-1)*3</f>
        <v>#DIV/0!</v>
      </c>
      <c r="AW39" s="63" t="e">
        <f t="shared" si="8"/>
        <v>#VALUE!</v>
      </c>
      <c r="AX39" s="63" t="e">
        <f t="shared" si="8"/>
        <v>#VALUE!</v>
      </c>
      <c r="AY39" s="63" t="e">
        <f t="shared" si="8"/>
        <v>#DIV/0!</v>
      </c>
      <c r="AZ39" s="63" t="e">
        <f t="shared" si="8"/>
        <v>#VALUE!</v>
      </c>
      <c r="BA39" s="63" t="e">
        <f t="shared" si="8"/>
        <v>#VALUE!</v>
      </c>
      <c r="BB39" s="155" t="e">
        <f>+MAX(AV39:BA39)</f>
        <v>#DIV/0!</v>
      </c>
      <c r="BC39" s="63" t="e">
        <f>ROUND(SQRT(ROUND(BI39/AX44*6/(L39/10)/IF(V39=0,1,V39),1))*10,0)</f>
        <v>#DIV/0!</v>
      </c>
      <c r="BD39" s="3" t="e">
        <f>POWER(ROUNDUP(BJ39/(L39/10)*12,0)/IF(V39=0,1,V39)/BE44,1/3)*10</f>
        <v>#VALUE!</v>
      </c>
      <c r="BE39" s="3" t="e">
        <f>POWER(ROUND(BK39/(L39/10)*12,0)/IF(V39=0,1,V39)/BE44,1/3)*10</f>
        <v>#VALUE!</v>
      </c>
      <c r="BF39" s="63" t="e">
        <f>ROUND(SQRT(ROUND(BL39/AY44*6/(L39/10)/IF(V39=0,1,V39),1))*10,2)</f>
        <v>#DIV/0!</v>
      </c>
      <c r="BG39" s="3" t="e">
        <f>POWER(ROUND(BM39/(L39/10)*12,0)/IF(V39=0,1,V39)/BE44,1/3)*10</f>
        <v>#VALUE!</v>
      </c>
      <c r="BH39" s="3" t="e">
        <f>POWER(ROUND(BN39/(L39/10)*12,0)/IF(V39=0,1,V39)/BE44,1/3)*10</f>
        <v>#VALUE!</v>
      </c>
      <c r="BI39" s="63" t="e">
        <f>ROUNDUP(AW42*AW41/AQ43*AR41,1)+BX42+CM42</f>
        <v>#DIV/0!</v>
      </c>
      <c r="BJ39" s="63" t="e">
        <f>AR41*AW41*SQRT(POWER(BA41-AY41,3))/(9*SQRT(3)*AS43*(AW41+AW42))+BY43+CO42</f>
        <v>#VALUE!</v>
      </c>
      <c r="BK39" s="63" t="e">
        <f>AR41*AW42*SQRT(POWER(BA41-AY42,3))/(9*SQRT(3)*AS43*(AW41+AW42))+BY43+CO42</f>
        <v>#VALUE!</v>
      </c>
      <c r="BL39" s="63" t="e">
        <f>ROUNDUP(AW42*AW41/AQ43*AS41,1)+BX42+CN42</f>
        <v>#DIV/0!</v>
      </c>
      <c r="BM39" s="63" t="e">
        <f>AS41*AW41*SQRT(POWER(BA41-AY41,3))/(9*SQRT(3)*AS43*(AW41+AW42))+BY43+CO42</f>
        <v>#VALUE!</v>
      </c>
      <c r="BN39" s="63" t="e">
        <f>AS41*AW42*SQRT(POWER(BA41-AY42,3))/(9*SQRT(3)*AS43*(AW41+AW42))+BY43+CP42</f>
        <v>#VALUE!</v>
      </c>
      <c r="BO39" s="9" t="e">
        <f>IF(AW42&gt;=AW41,ROUNDUP(AR41*AW42/AQ43/BB44,2),ROUNDUP(AR41*AW41/AQ43/BB44,2))</f>
        <v>#DIV/0!</v>
      </c>
      <c r="BP39" s="9" t="e">
        <f>IF(AW42&gt;=AW41,ROUNDUP(AS41*AW42/AQ43/BC44,2),ROUNDUP(AS41*AW41/AQ43/BC44,2))</f>
        <v>#VALUE!</v>
      </c>
      <c r="BQ39" s="23" t="e">
        <f>IF(BO39&gt;=BP39,BO39,BP39)</f>
        <v>#DIV/0!</v>
      </c>
      <c r="BR39" s="9">
        <f>IF(N39=0,0,ROUNDUP(SQRT((U39*L39/10*N39/10)/(R39*R39)),2))</f>
        <v>0</v>
      </c>
      <c r="BS39" s="800" t="s">
        <v>473</v>
      </c>
      <c r="BT39" s="63" t="s">
        <v>474</v>
      </c>
      <c r="BU39" s="63" t="s">
        <v>201</v>
      </c>
      <c r="BV39" s="63" t="s">
        <v>202</v>
      </c>
      <c r="BW39" s="3">
        <v>1</v>
      </c>
      <c r="BX39" s="3">
        <v>2</v>
      </c>
      <c r="BY39" s="3">
        <v>3</v>
      </c>
      <c r="BZ39" s="3">
        <v>4</v>
      </c>
      <c r="CA39" s="3">
        <v>5</v>
      </c>
      <c r="CB39" s="3">
        <v>6</v>
      </c>
      <c r="CF39" s="442" t="e">
        <f>ROUND(IF($AW42&gt;=$AW41,$AW42,$AW41)/$AQ43*$AR41,1)+BX43+CM43</f>
        <v>#DIV/0!</v>
      </c>
      <c r="CG39" s="442" t="e">
        <f>ROUND(IF($AW42&gt;=$AW41,$AW42,$AW41)/$AQ43*$AS41,1)+BX43+CN43</f>
        <v>#DIV/0!</v>
      </c>
      <c r="CH39" s="443" t="e">
        <f>+AV39+CF42</f>
        <v>#DIV/0!</v>
      </c>
      <c r="CI39" s="548" t="e">
        <f>+AW39+CG42</f>
        <v>#VALUE!</v>
      </c>
      <c r="CJ39" s="548" t="e">
        <f>+AY39+CF42</f>
        <v>#DIV/0!</v>
      </c>
      <c r="CK39" s="548" t="e">
        <f>+AZ39+CG42</f>
        <v>#VALUE!</v>
      </c>
      <c r="CL39" s="545" t="e">
        <f>MAX(CH39:CK39)</f>
        <v>#DIV/0!</v>
      </c>
      <c r="CM39" s="63" t="s">
        <v>201</v>
      </c>
      <c r="CN39" s="63" t="s">
        <v>202</v>
      </c>
      <c r="CQ39" s="412" t="s">
        <v>1013</v>
      </c>
      <c r="CR39" s="349" t="s">
        <v>1014</v>
      </c>
      <c r="CS39" s="412" t="s">
        <v>1015</v>
      </c>
      <c r="CT39" s="412" t="s">
        <v>1013</v>
      </c>
      <c r="CU39" s="349" t="s">
        <v>1014</v>
      </c>
      <c r="CV39" s="412" t="s">
        <v>1015</v>
      </c>
      <c r="CW39" s="3" t="s">
        <v>1223</v>
      </c>
      <c r="CX39" s="3" t="s">
        <v>1224</v>
      </c>
      <c r="CY39" s="1253">
        <f>IF(AND(R39=0,V43=0),0,IF(S39=0,M$181*AR11*X43/100,ROUND(POWER(R39*S39,2)/(L39/10*N39/10),2)))</f>
        <v>0</v>
      </c>
    </row>
    <row r="40" spans="2:103" x14ac:dyDescent="0.15">
      <c r="B40" s="1398"/>
      <c r="C40" s="1686"/>
      <c r="D40" s="330"/>
      <c r="E40" s="1572"/>
      <c r="F40" s="1321"/>
      <c r="G40" s="1032"/>
      <c r="H40" s="1032"/>
      <c r="I40" s="1032"/>
      <c r="J40" s="1032"/>
      <c r="K40" s="1672"/>
      <c r="L40" s="1653"/>
      <c r="M40" s="1285"/>
      <c r="N40" s="1258"/>
      <c r="O40" s="1258"/>
      <c r="P40" s="1297"/>
      <c r="Q40" s="1660"/>
      <c r="R40" s="1507"/>
      <c r="S40" s="1312"/>
      <c r="T40" s="1312"/>
      <c r="U40" s="1254"/>
      <c r="V40" s="1653"/>
      <c r="W40" s="1258"/>
      <c r="X40" s="1258"/>
      <c r="Y40" s="1254"/>
      <c r="Z40" s="1258"/>
      <c r="AA40" s="1258"/>
      <c r="AB40" s="1254"/>
      <c r="AC40" s="414"/>
      <c r="AD40" s="427"/>
      <c r="AE40" s="431"/>
      <c r="AF40" s="429"/>
      <c r="AG40" s="1254"/>
      <c r="AH40" s="1254"/>
      <c r="AI40" s="1256"/>
      <c r="AJ40" s="415">
        <f>+IF(I43=0,0,"1/")</f>
        <v>0</v>
      </c>
      <c r="AK40" s="416">
        <f>IF(I43=0,0,+BD44)</f>
        <v>0</v>
      </c>
      <c r="AL40" s="194"/>
      <c r="AO40" s="515" t="s">
        <v>879</v>
      </c>
      <c r="AP40" s="3">
        <f>ROUND((I40+J40)/2,2)</f>
        <v>0</v>
      </c>
      <c r="AQ40" s="479" t="s">
        <v>877</v>
      </c>
      <c r="AR40" s="632">
        <f>+準備!G57+AV44</f>
        <v>850</v>
      </c>
      <c r="AS40" s="632" t="e">
        <f>+準備!G57+AW44</f>
        <v>#VALUE!</v>
      </c>
      <c r="AT40" s="3">
        <f>+IF(OR(V40=0,V40=1),1,V40)</f>
        <v>1</v>
      </c>
      <c r="AU40" s="69">
        <f>ROUND(ATAN(E39/10)*180/PI(),4)</f>
        <v>0</v>
      </c>
      <c r="AV40" s="63" t="e">
        <f>IF(V40=0.8,VLOOKUP(BC40,$AR$397:$AS$442,2),IF(V40=0.9,VLOOKUP(BC40,$AR$350:$AS$395,2),VLOOKUP(BC40,$AR$303:$AS$348,2)))</f>
        <v>#DIV/0!</v>
      </c>
      <c r="AW40" s="63" t="e">
        <f>IF(V40=0.8,VLOOKUP(BD40,$AT$397:$AU$442,2),IF(V40=0.9,VLOOKUP(BD40,$AT$350:$AU$395,2),VLOOKUP(BD40,$AT$303:$AU$348,2)))</f>
        <v>#VALUE!</v>
      </c>
      <c r="AX40" s="63" t="e">
        <f>IF(V40=0.8,VLOOKUP(BE40,$AT$397:$AU$442,2),IF(V40=0.9,VLOOKUP(BE40,$AT$350:$AU$395,2),VLOOKUP(BE40,$AT$303:$AU$348,2)))</f>
        <v>#VALUE!</v>
      </c>
      <c r="AY40" s="63" t="e">
        <f>IF(V40=0.8,VLOOKUP(BF40,$AR$397:$AS$442,2),IF(V40=0.9,VLOOKUP(BF40,$AR$350:$AS$395,2),VLOOKUP(BF40,$AR$303:$AS$348,2)))</f>
        <v>#DIV/0!</v>
      </c>
      <c r="AZ40" s="63" t="e">
        <f>IF(V40=0.8,VLOOKUP(BG40,$AT$397:$AU$442,2),IF(V40=0.9,VLOOKUP(BG40,$AT$350:$AU$395,2),VLOOKUP(BG40,$AT$303:$AU$348,2)))</f>
        <v>#VALUE!</v>
      </c>
      <c r="BA40" s="63" t="e">
        <f>IF(V40=0.8,VLOOKUP(BH40,$AT$397:$AU$442,2),IF(V40=0.9,VLOOKUP(BH40,$AT$350:$AU$395,2),VLOOKUP(BH40,$AT$303:$AU$348,2)))</f>
        <v>#VALUE!</v>
      </c>
      <c r="BB40" s="155" t="e">
        <f>+MAX(AV40:BA40)</f>
        <v>#DIV/0!</v>
      </c>
      <c r="BC40" s="63" t="e">
        <f>ROUNDUP(BI40/AX44/IF(V40=0,1,V40),1)</f>
        <v>#DIV/0!</v>
      </c>
      <c r="BD40" s="63" t="e">
        <f>ROUNDUP(AR41*AW41*BE41/(9*SQRT(3)*AS43*AQ43*BE44)/AT40,2)</f>
        <v>#VALUE!</v>
      </c>
      <c r="BE40" s="63" t="e">
        <f>ROUNDUP(AR41*AW41*BE41/(9*SQRT(3)*AS43*AQ43*BE44)/AT40,2)</f>
        <v>#VALUE!</v>
      </c>
      <c r="BF40" s="63" t="e">
        <f>ROUNDUP(BL40/AY44/IF(V40=0,1,V40),1)</f>
        <v>#DIV/0!</v>
      </c>
      <c r="BG40" s="63" t="e">
        <f>ROUNDUP(AS41*AW41*BE41/(9*SQRT(3)*AS43*AQ43*BE44)/AT40,2)</f>
        <v>#VALUE!</v>
      </c>
      <c r="BH40" s="63" t="e">
        <f>ROUNDUP(AS41*AW42*BE41/(9*SQRT(3)*AS43*AQ43*BE44)/AT40,2)</f>
        <v>#VALUE!</v>
      </c>
      <c r="BI40" s="63" t="e">
        <f>ROUNDUP(AW41*AW42/AQ43*AR41,1)+BX42+CM42</f>
        <v>#DIV/0!</v>
      </c>
      <c r="BJ40" s="63" t="e">
        <f>+BJ39</f>
        <v>#VALUE!</v>
      </c>
      <c r="BK40" s="63" t="e">
        <f>+BK39</f>
        <v>#VALUE!</v>
      </c>
      <c r="BL40" s="63" t="e">
        <f>+BL39</f>
        <v>#DIV/0!</v>
      </c>
      <c r="BM40" s="63" t="e">
        <f>+BM39</f>
        <v>#VALUE!</v>
      </c>
      <c r="BN40" s="63" t="e">
        <f>+BN39</f>
        <v>#VALUE!</v>
      </c>
      <c r="BO40" s="9" t="e">
        <f>IF(AW42&gt;=AW41,ROUNDUP(AR41*AW42/AQ43/BB44,2),ROUNDUP(AR41*AW41/AQ43/BB44,2))</f>
        <v>#DIV/0!</v>
      </c>
      <c r="BP40" s="9" t="e">
        <f>IF(AW42&gt;=AW41,ROUNDUP(AS41*AW42/AQ43/BC44,2),ROUNDUP(AS41*AW41/AQ43/BC44,2))</f>
        <v>#VALUE!</v>
      </c>
      <c r="BQ40" s="23" t="e">
        <f>IF(BO40&gt;=BP40,BO40,BP40)</f>
        <v>#DIV/0!</v>
      </c>
      <c r="BR40" s="9">
        <f>IF(N40=0,0,ROUNDUP(SQRT(IF(Q40=0,(U40*(N40/10-5)*(N40/10-3)),(U40*(Q40/10-5)*(Q40/10-3)))/(R40*R40)),2))</f>
        <v>0</v>
      </c>
      <c r="BS40" s="63" t="str">
        <f>IF(N39=0,"",ROUND(CF39/(AZ44*T39),2))</f>
        <v/>
      </c>
      <c r="BT40" s="63" t="str">
        <f>IF(N39=0,"",ROUND(CG39/(BA44*T39),1))</f>
        <v/>
      </c>
      <c r="BU40" s="800" t="s">
        <v>269</v>
      </c>
      <c r="BV40" s="800" t="s">
        <v>269</v>
      </c>
      <c r="BW40" s="632">
        <f>+準備!$G$20/100</f>
        <v>4.5</v>
      </c>
      <c r="BX40" s="632">
        <f>+準備!$G$24/100</f>
        <v>11</v>
      </c>
      <c r="BY40" s="632">
        <f>+準備!$G$28/100</f>
        <v>14</v>
      </c>
      <c r="BZ40" s="632">
        <f>+準備!$G$32/100</f>
        <v>17.5</v>
      </c>
      <c r="CA40" s="632">
        <f>+準備!$G$36/100</f>
        <v>17.5</v>
      </c>
      <c r="CB40" s="632">
        <f>+準備!$G$38/100</f>
        <v>4</v>
      </c>
      <c r="CF40" s="548" t="e">
        <f>+IF($AW42&gt;=$AW41,$AW42*$AR41/($K43*100)+BX43,$AW41*$AR41/($K43*100)+BX43+CM43)</f>
        <v>#DIV/0!</v>
      </c>
      <c r="CG40" s="548" t="e">
        <f>+IF($AW42&gt;=$AW41,$AW42*$AS41/($K43*100)+BX43,$AW41*$AS41/($K43*100)+BX43+CN43)</f>
        <v>#VALUE!</v>
      </c>
      <c r="CH40" s="548" t="e">
        <f>+AV40+CF42</f>
        <v>#DIV/0!</v>
      </c>
      <c r="CI40" s="548" t="e">
        <f>+AW40+CG42</f>
        <v>#VALUE!</v>
      </c>
      <c r="CJ40" s="548" t="e">
        <f>+AY40+CF42</f>
        <v>#DIV/0!</v>
      </c>
      <c r="CK40" s="548" t="e">
        <f>+AZ40+CG42</f>
        <v>#VALUE!</v>
      </c>
      <c r="CL40" s="545" t="e">
        <f>MAX(CH40:CK40)</f>
        <v>#DIV/0!</v>
      </c>
      <c r="CM40" s="800" t="s">
        <v>269</v>
      </c>
      <c r="CN40" s="800" t="s">
        <v>269</v>
      </c>
      <c r="CO40" s="3" t="s">
        <v>189</v>
      </c>
      <c r="CQ40" s="3" t="e">
        <f>IF($BX42=0,0,ROUND(($BX42+$CM42)/$CA43,1))</f>
        <v>#N/A</v>
      </c>
      <c r="CR40" s="3" t="e">
        <f>IF($BY43=0,0,ROUND(($BY43+$CO42)/$CC43,2))</f>
        <v>#N/A</v>
      </c>
      <c r="CS40" s="3" t="e">
        <f>IF($BX43=0,0,ROUND(($BX43+$CM43)/$T39,1))</f>
        <v>#N/A</v>
      </c>
      <c r="CT40" s="3" t="e">
        <f>IF($BX42=0,0,ROUND(($BX42+$CN42)/$CA43,1))</f>
        <v>#N/A</v>
      </c>
      <c r="CU40" s="3" t="e">
        <f>IF($BY43=0,0,ROUND(($BY43+$CP42)/$CC43,2))</f>
        <v>#N/A</v>
      </c>
      <c r="CV40" s="3" t="e">
        <f>IF($BX43=0,0,ROUND(($BX43+$CN43)/$T39,1))</f>
        <v>#N/A</v>
      </c>
      <c r="CW40" s="3" t="e">
        <f>ROUND(VLOOKUP(VALUE(RIGHT($K39,4)),許容応力!$B$6:$K$22,9)*1.1/3*100,0)</f>
        <v>#VALUE!</v>
      </c>
      <c r="CX40" s="3" t="e">
        <f>ROUND(VLOOKUP(VALUE(RIGHT($K39,4)),許容応力!$B$6:$K$22,9)*2/3*0.8*100,0)</f>
        <v>#VALUE!</v>
      </c>
      <c r="CY40" s="1272"/>
    </row>
    <row r="41" spans="2:103" x14ac:dyDescent="0.15">
      <c r="B41" s="1398"/>
      <c r="C41" s="1217" t="s">
        <v>980</v>
      </c>
      <c r="D41" s="1403" t="s">
        <v>961</v>
      </c>
      <c r="E41" s="1404"/>
      <c r="F41" s="1407" t="s">
        <v>964</v>
      </c>
      <c r="G41" s="1408"/>
      <c r="H41" s="1239" t="s">
        <v>970</v>
      </c>
      <c r="I41" s="1215" t="s">
        <v>967</v>
      </c>
      <c r="J41" s="1397"/>
      <c r="K41" s="461"/>
      <c r="L41" s="451"/>
      <c r="M41" s="450"/>
      <c r="N41" s="451"/>
      <c r="O41" s="450"/>
      <c r="P41" s="451"/>
      <c r="Q41" s="878"/>
      <c r="R41" s="1307" t="s">
        <v>1154</v>
      </c>
      <c r="S41" s="1308"/>
      <c r="T41" s="1308"/>
      <c r="U41" s="1308"/>
      <c r="V41" s="1308"/>
      <c r="W41" s="1308"/>
      <c r="X41" s="1621"/>
      <c r="Y41" s="453"/>
      <c r="Z41" s="453"/>
      <c r="AA41" s="453"/>
      <c r="AB41" s="453"/>
      <c r="AC41" s="462"/>
      <c r="AD41" s="452"/>
      <c r="AE41" s="451"/>
      <c r="AF41" s="453"/>
      <c r="AG41" s="452"/>
      <c r="AH41" s="452"/>
      <c r="AI41" s="450"/>
      <c r="AJ41" s="454"/>
      <c r="AK41" s="455"/>
      <c r="AL41" s="194"/>
      <c r="AO41" s="637" t="s">
        <v>958</v>
      </c>
      <c r="AQ41" s="638" t="s">
        <v>994</v>
      </c>
      <c r="AR41" s="3">
        <f>ROUND(AR40*AP39*AP40,0)</f>
        <v>0</v>
      </c>
      <c r="AS41" s="3" t="e">
        <f>ROUND(AS40*AP39*AP40,0)</f>
        <v>#VALUE!</v>
      </c>
      <c r="AT41" s="639" t="e">
        <f>+VALUE(RIGHT(K39,4))</f>
        <v>#VALUE!</v>
      </c>
      <c r="AU41" s="639" t="e">
        <f>+VLOOKUP(VALUE(RIGHT(K39,4)),$G$387:$J$397,3)</f>
        <v>#VALUE!</v>
      </c>
      <c r="AV41" s="377" t="s">
        <v>986</v>
      </c>
      <c r="AW41" s="640">
        <f>+J43*100</f>
        <v>0</v>
      </c>
      <c r="AX41" s="3" t="s">
        <v>988</v>
      </c>
      <c r="AY41" s="3">
        <f>+POWER(AW41,2)</f>
        <v>0</v>
      </c>
      <c r="AZ41" s="3" t="s">
        <v>990</v>
      </c>
      <c r="BA41" s="3">
        <f>+POWER(AQ43,2)</f>
        <v>0</v>
      </c>
      <c r="BB41" s="3" t="s">
        <v>999</v>
      </c>
      <c r="BC41" s="3">
        <f>+BA41-AY41</f>
        <v>0</v>
      </c>
      <c r="BD41" s="3" t="s">
        <v>992</v>
      </c>
      <c r="BE41" s="3">
        <f>SQRT(+POWER(BC41,3))</f>
        <v>0</v>
      </c>
      <c r="BF41" s="52" t="s">
        <v>287</v>
      </c>
      <c r="BG41" s="800" t="s">
        <v>288</v>
      </c>
      <c r="BH41" s="52" t="s">
        <v>490</v>
      </c>
      <c r="BI41" s="52" t="s">
        <v>289</v>
      </c>
      <c r="BJ41" s="800" t="s">
        <v>290</v>
      </c>
      <c r="BK41" s="52" t="s">
        <v>493</v>
      </c>
      <c r="BL41" s="800" t="s">
        <v>291</v>
      </c>
      <c r="BM41" s="800" t="s">
        <v>292</v>
      </c>
      <c r="BN41" s="412" t="s">
        <v>1020</v>
      </c>
      <c r="BO41" s="412" t="s">
        <v>1021</v>
      </c>
      <c r="BS41" s="63" t="str">
        <f>+BS40</f>
        <v/>
      </c>
      <c r="BT41" s="63" t="str">
        <f>+BT40</f>
        <v/>
      </c>
      <c r="BU41" s="87" t="e">
        <f>IF(OR(BR42=0,BR42=1),0,ROUNDUP((準備!$G$60/100+準備!$D$48/100)*((F43+G43)/2*100)/200,2))</f>
        <v>#N/A</v>
      </c>
      <c r="BV41" s="87" t="e">
        <f>+BU41</f>
        <v>#N/A</v>
      </c>
      <c r="BW41" s="3">
        <f t="shared" ref="BW41:CB41" si="9">ROUND(BW40*$I44,2)</f>
        <v>0</v>
      </c>
      <c r="BX41" s="3">
        <f t="shared" si="9"/>
        <v>0</v>
      </c>
      <c r="BY41" s="3">
        <f t="shared" si="9"/>
        <v>0</v>
      </c>
      <c r="BZ41" s="3">
        <f t="shared" si="9"/>
        <v>0</v>
      </c>
      <c r="CA41" s="3">
        <f t="shared" si="9"/>
        <v>0</v>
      </c>
      <c r="CB41" s="3">
        <f t="shared" si="9"/>
        <v>0</v>
      </c>
      <c r="CF41" s="412" t="s">
        <v>1065</v>
      </c>
      <c r="CG41" s="349" t="s">
        <v>1066</v>
      </c>
      <c r="CH41" s="412" t="s">
        <v>1067</v>
      </c>
      <c r="CM41" s="87">
        <f>IF(OR($BR42=0,$BR42=1),0,ROUND((準備!$G$6+$AV44)*$G43/200,2))</f>
        <v>0</v>
      </c>
      <c r="CN41" s="87" t="e">
        <f>IF(OR($BR42=0,$BR42=1),0,ROUND((準備!$G$6+$AW44)*$G43/200,2))</f>
        <v>#VALUE!</v>
      </c>
      <c r="CO41" s="3" t="s">
        <v>168</v>
      </c>
      <c r="CP41" s="3" t="s">
        <v>203</v>
      </c>
      <c r="CQ41" s="412" t="s">
        <v>1065</v>
      </c>
      <c r="CR41" s="349" t="s">
        <v>1066</v>
      </c>
      <c r="CS41" s="412" t="s">
        <v>1067</v>
      </c>
      <c r="CT41" s="412" t="s">
        <v>1065</v>
      </c>
      <c r="CU41" s="349" t="s">
        <v>1066</v>
      </c>
      <c r="CV41" s="412" t="s">
        <v>1067</v>
      </c>
      <c r="CW41" s="3" t="e">
        <f>ROUND($CM$17*K43*100/2/CW40/AG39,2)</f>
        <v>#VALUE!</v>
      </c>
      <c r="CX41" s="3" t="e">
        <f>ROUND(CN41*K43*100/2/CX40/AG39,2)</f>
        <v>#VALUE!</v>
      </c>
    </row>
    <row r="42" spans="2:103" x14ac:dyDescent="0.15">
      <c r="B42" s="1398"/>
      <c r="C42" s="1402"/>
      <c r="D42" s="1405"/>
      <c r="E42" s="1406"/>
      <c r="F42" s="411" t="s">
        <v>971</v>
      </c>
      <c r="G42" s="591" t="s">
        <v>972</v>
      </c>
      <c r="H42" s="1409"/>
      <c r="I42" s="586" t="s">
        <v>981</v>
      </c>
      <c r="J42" s="592" t="s">
        <v>982</v>
      </c>
      <c r="K42" s="440" t="s">
        <v>1011</v>
      </c>
      <c r="L42" s="1342"/>
      <c r="M42" s="1342"/>
      <c r="N42" s="302"/>
      <c r="O42" s="594"/>
      <c r="P42" s="1342"/>
      <c r="Q42" s="1406"/>
      <c r="R42" s="877" t="s">
        <v>1265</v>
      </c>
      <c r="S42" s="877" t="s">
        <v>1266</v>
      </c>
      <c r="T42" s="877" t="s">
        <v>1267</v>
      </c>
      <c r="U42" s="877" t="s">
        <v>1260</v>
      </c>
      <c r="V42" s="877" t="s">
        <v>1268</v>
      </c>
      <c r="W42" s="440" t="s">
        <v>1151</v>
      </c>
      <c r="X42" s="440" t="s">
        <v>1153</v>
      </c>
      <c r="Y42" s="324"/>
      <c r="Z42" s="324"/>
      <c r="AA42" s="324"/>
      <c r="AB42" s="324"/>
      <c r="AC42" s="463"/>
      <c r="AD42" s="325"/>
      <c r="AE42" s="302"/>
      <c r="AF42" s="324"/>
      <c r="AG42" s="325"/>
      <c r="AH42" s="325"/>
      <c r="AI42" s="594"/>
      <c r="AJ42" s="420"/>
      <c r="AK42" s="421"/>
      <c r="AL42" s="194"/>
      <c r="AP42" s="3" t="s">
        <v>790</v>
      </c>
      <c r="AQ42" s="3">
        <f>+L39</f>
        <v>0</v>
      </c>
      <c r="AR42" s="3" t="s">
        <v>985</v>
      </c>
      <c r="AS42" s="3">
        <f>+N39</f>
        <v>0</v>
      </c>
      <c r="AT42" s="3" t="s">
        <v>15</v>
      </c>
      <c r="AU42" s="3" t="e">
        <f>+VALUE(RIGHT(K39,4))</f>
        <v>#VALUE!</v>
      </c>
      <c r="AV42" s="377" t="s">
        <v>987</v>
      </c>
      <c r="AW42" s="640">
        <f>+I43*100</f>
        <v>0</v>
      </c>
      <c r="AX42" s="3" t="s">
        <v>989</v>
      </c>
      <c r="AY42" s="3">
        <f>+POWER(AW42,2)</f>
        <v>0</v>
      </c>
      <c r="AZ42" s="409">
        <f>+VALUE(RIGHT($G$10,3))</f>
        <v>2</v>
      </c>
      <c r="BB42" s="3" t="s">
        <v>991</v>
      </c>
      <c r="BC42" s="3">
        <f>+BA41-AY42</f>
        <v>0</v>
      </c>
      <c r="BD42" s="3" t="s">
        <v>993</v>
      </c>
      <c r="BE42" s="3">
        <f>SQRT(+POWER(BC42,3))</f>
        <v>0</v>
      </c>
      <c r="BF42" s="3" t="e">
        <f>ROUND((BI39)/BL42,1)</f>
        <v>#DIV/0!</v>
      </c>
      <c r="BG42" s="3" t="e">
        <f>+IF(AW42&gt;=AW41,BJ39/AU43,BK39/AU43)</f>
        <v>#VALUE!</v>
      </c>
      <c r="BH42" s="63" t="e">
        <f>+CF39/AZ44</f>
        <v>#DIV/0!</v>
      </c>
      <c r="BI42" s="3" t="e">
        <f>ROUND(BL39/BL42,1)</f>
        <v>#DIV/0!</v>
      </c>
      <c r="BJ42" s="3" t="e">
        <f>+IF(AW42&gt;=AW41,BM39/AU43,BN39/AU43)</f>
        <v>#VALUE!</v>
      </c>
      <c r="BK42" s="63" t="e">
        <f>+CG39/BA44</f>
        <v>#DIV/0!</v>
      </c>
      <c r="BL42" s="63">
        <f>ROUNDDOWN(L39/10*POWER(N39/10,2)/6*IF(OR(V39=0,V39=1),1,V39),0)</f>
        <v>0</v>
      </c>
      <c r="BM42" s="63">
        <f>ROUNDDOWN(L39/10*POWER(N39/10,3)/12*IF(OR(V39=0,V39=1),1,V39),0)</f>
        <v>0</v>
      </c>
      <c r="BN42" s="63" t="str">
        <f>IF(N39=0,"",IF(AW42&gt;=AW41,ROUND(AR41*AW42/AQ43/AG39/BB44,2),ROUNDUP(AR41*AW41/AQ43/AG39/BB44,2)))</f>
        <v/>
      </c>
      <c r="BO42" s="63" t="str">
        <f>IF(N39=0,"",IF(AW42&gt;=AW41,ROUND(AS41*AW42/AQ43/AG39/BC44,2),ROUNDUP(AS41*AW41/AQ43/AG39/BC44,2)))</f>
        <v/>
      </c>
      <c r="BQ42" s="3" t="s">
        <v>1012</v>
      </c>
      <c r="BR42" s="3">
        <f>IF(D41=0,0,+VALUE(RIGHT(D41,4)))</f>
        <v>2</v>
      </c>
      <c r="BS42" s="3" t="s">
        <v>1003</v>
      </c>
      <c r="BT42" s="3">
        <f>IF(G44=0,0,+VALUE(RIGHT(G44,4)))</f>
        <v>0</v>
      </c>
      <c r="BU42" s="3">
        <f>IF(OR(BR43=0,BR43=2),0,HLOOKUP(BT42,BW39:CB41,3))</f>
        <v>0</v>
      </c>
      <c r="BV42" s="3">
        <f>+BU42</f>
        <v>0</v>
      </c>
      <c r="BW42" s="3" t="s">
        <v>1019</v>
      </c>
      <c r="BX42" s="3" t="e">
        <f>BU43*POWER(AQ43,2)/8</f>
        <v>#N/A</v>
      </c>
      <c r="BY42" s="3" t="s">
        <v>189</v>
      </c>
      <c r="BZ42" s="3" t="s">
        <v>782</v>
      </c>
      <c r="CA42" s="3" t="e">
        <f>ROUNDUP(+SQRT((BX42+CM42)*6/(AX44*L39/10)),0)</f>
        <v>#N/A</v>
      </c>
      <c r="CF42" s="3" t="e">
        <f>+ROUNDUP(CQ42/3,-1)*3</f>
        <v>#N/A</v>
      </c>
      <c r="CG42" s="3" t="e">
        <f>ROUNDUP(CR42/3,-1)*3</f>
        <v>#N/A</v>
      </c>
      <c r="CH42" s="3" t="e">
        <f>ROUNDUP(CS42/3,-1)*3</f>
        <v>#N/A</v>
      </c>
      <c r="CL42" s="3" t="s">
        <v>1019</v>
      </c>
      <c r="CM42" s="3">
        <f>+CM41*POWER(K43*100,2)/8</f>
        <v>0</v>
      </c>
      <c r="CN42" s="3" t="e">
        <f>+CN41*POWER(K43*100,2)/8</f>
        <v>#VALUE!</v>
      </c>
      <c r="CO42" s="3" t="e">
        <f>5*CM41*POWER(AQ43,4)/(384*AS43)</f>
        <v>#VALUE!</v>
      </c>
      <c r="CP42" s="3" t="e">
        <f>5*CN41*POWER(AQ43,4)/(384*AS43)</f>
        <v>#VALUE!</v>
      </c>
      <c r="CQ42" s="3" t="e">
        <f>+CQ40/AX44</f>
        <v>#N/A</v>
      </c>
      <c r="CR42" s="3" t="e">
        <f>+CR40/BE44</f>
        <v>#N/A</v>
      </c>
      <c r="CS42" s="3" t="e">
        <f>+CS40/AZ44</f>
        <v>#N/A</v>
      </c>
      <c r="CT42" s="3" t="e">
        <f>+CT40/AX44</f>
        <v>#N/A</v>
      </c>
      <c r="CU42" s="3" t="e">
        <f>+CU40/BE44</f>
        <v>#N/A</v>
      </c>
      <c r="CV42" s="3" t="e">
        <f>+CV40/AZ44</f>
        <v>#N/A</v>
      </c>
    </row>
    <row r="43" spans="2:103" x14ac:dyDescent="0.15">
      <c r="B43" s="1398"/>
      <c r="C43" s="1219"/>
      <c r="D43" s="1322"/>
      <c r="E43" s="1211"/>
      <c r="F43" s="1031"/>
      <c r="G43" s="1031"/>
      <c r="H43" s="1410"/>
      <c r="I43" s="1031"/>
      <c r="J43" s="413"/>
      <c r="K43" s="464">
        <f>+I43+J43</f>
        <v>0</v>
      </c>
      <c r="L43" s="302"/>
      <c r="M43" s="594"/>
      <c r="N43" s="302"/>
      <c r="O43" s="594"/>
      <c r="P43" s="1382"/>
      <c r="Q43" s="1406"/>
      <c r="R43" s="1029"/>
      <c r="S43" s="1029"/>
      <c r="T43" s="882">
        <f>+IF(S43=0,0,6)</f>
        <v>0</v>
      </c>
      <c r="U43" s="1029"/>
      <c r="V43" s="1029"/>
      <c r="W43" s="574" t="str">
        <f>+$M$170</f>
        <v/>
      </c>
      <c r="X43" s="574">
        <f>IF(V43=0,0,+VLOOKUP(W43,$I$189:$J$194,2))</f>
        <v>0</v>
      </c>
      <c r="Y43" s="324"/>
      <c r="Z43" s="324"/>
      <c r="AA43" s="324"/>
      <c r="AB43" s="324"/>
      <c r="AC43" s="463"/>
      <c r="AD43" s="325"/>
      <c r="AE43" s="302"/>
      <c r="AF43" s="324"/>
      <c r="AG43" s="325"/>
      <c r="AH43" s="325"/>
      <c r="AI43" s="594"/>
      <c r="AJ43" s="420"/>
      <c r="AK43" s="421"/>
      <c r="AL43" s="194"/>
      <c r="AP43" s="3" t="s">
        <v>983</v>
      </c>
      <c r="AQ43" s="641">
        <f>(+I43+J43)*100</f>
        <v>0</v>
      </c>
      <c r="AR43" s="615" t="s">
        <v>880</v>
      </c>
      <c r="AS43" s="642" t="e">
        <f>+VLOOKUP(VALUE(RIGHT(K39,4)),許容応力!$B$6:$K$22,10)*100</f>
        <v>#VALUE!</v>
      </c>
      <c r="AT43" s="615" t="s">
        <v>881</v>
      </c>
      <c r="AU43" s="520">
        <f>+BM42</f>
        <v>0</v>
      </c>
      <c r="AV43" s="18" t="s">
        <v>209</v>
      </c>
      <c r="AW43" s="18" t="s">
        <v>210</v>
      </c>
      <c r="AX43" s="3" t="s">
        <v>997</v>
      </c>
      <c r="AY43" s="3" t="s">
        <v>294</v>
      </c>
      <c r="AZ43" s="52" t="s">
        <v>498</v>
      </c>
      <c r="BA43" s="52" t="s">
        <v>499</v>
      </c>
      <c r="BB43" s="52" t="s">
        <v>500</v>
      </c>
      <c r="BC43" s="52" t="s">
        <v>501</v>
      </c>
      <c r="BD43" s="800" t="s">
        <v>295</v>
      </c>
      <c r="BE43" s="800" t="s">
        <v>296</v>
      </c>
      <c r="BF43" s="3" t="e">
        <f>ROUND(BI40/BL43,1)</f>
        <v>#DIV/0!</v>
      </c>
      <c r="BG43" s="3" t="e">
        <f>+IF(AW42&gt;=AW41,BJ40/AU44,BK40/AU44)</f>
        <v>#VALUE!</v>
      </c>
      <c r="BH43" s="63" t="e">
        <f>+BH42</f>
        <v>#DIV/0!</v>
      </c>
      <c r="BI43" s="3" t="e">
        <f>ROUND(BL40/BL43,1)</f>
        <v>#DIV/0!</v>
      </c>
      <c r="BJ43" s="3" t="e">
        <f>+IF(AW42&gt;=AW41,BM40/AU44,BN40/AU44)</f>
        <v>#VALUE!</v>
      </c>
      <c r="BK43" s="63" t="e">
        <f>+BK42</f>
        <v>#DIV/0!</v>
      </c>
      <c r="BL43" s="63">
        <f>IF(N40&lt;180,ROUND((N40/10-3)*POWER($N40/10-3,2)/6*IF(V40=0,1,V40),0),ROUND((N40/10-5)*POWER(N40/10-3,2)/6*IF($V40=0,1,$V40),0))</f>
        <v>-5</v>
      </c>
      <c r="BM43" s="63">
        <f>ROUND(IF(N40&lt;180,(N40/10-3)*POWER((N40/10-3),3)/12*IF(V40=0,1,V40),(N40/10-5))*POWER((N40/10-3),3)/12*IF(V40=0,1,V40),0)</f>
        <v>-15</v>
      </c>
      <c r="BN43" s="63" t="str">
        <f>IF(N40=0,"",IF(AW42&gt;=AW41,ROUND(AR41*AW42/AQ43/AG40/BB44,2),ROUNDUP(AR41*AW42/AQ43/AG40/BB44,2)))</f>
        <v/>
      </c>
      <c r="BO43" s="63" t="str">
        <f>IF(N39=0,"",IF(AW42&gt;=AW41,ROUND(AS41*AW42/AQ43/AG40/BC44,2),ROUNDUP(AS41*AW41/AQ43/AG40/BC44,2)))</f>
        <v/>
      </c>
      <c r="BQ43" s="3" t="s">
        <v>1002</v>
      </c>
      <c r="BR43" s="3">
        <f>IF(E44=0,0,+VALUE(RIGHT(E44,4)))</f>
        <v>0</v>
      </c>
      <c r="BT43" s="3" t="s">
        <v>1011</v>
      </c>
      <c r="BU43" s="3" t="e">
        <f>+BU41+BU42</f>
        <v>#N/A</v>
      </c>
      <c r="BV43" s="3" t="e">
        <f>+BV41+BV42</f>
        <v>#N/A</v>
      </c>
      <c r="BW43" s="3" t="s">
        <v>1018</v>
      </c>
      <c r="BX43" s="3" t="e">
        <f>+BU43*AQ43/2</f>
        <v>#N/A</v>
      </c>
      <c r="BY43" s="3" t="e">
        <f>5*BU43*POWER(AQ43,4)/(384*AS43)</f>
        <v>#N/A</v>
      </c>
      <c r="BZ43" s="800" t="s">
        <v>291</v>
      </c>
      <c r="CA43" s="3" t="e">
        <f>ROUND(L39/10*POWER(CA42,2)/6,0)</f>
        <v>#N/A</v>
      </c>
      <c r="CB43" s="800" t="s">
        <v>292</v>
      </c>
      <c r="CC43" s="3" t="e">
        <f>ROUND(L39/10*POWER(CA42,3)/12,0)</f>
        <v>#N/A</v>
      </c>
      <c r="CL43" s="3" t="s">
        <v>1018</v>
      </c>
      <c r="CM43" s="3">
        <f>+CM41*K43*100/2</f>
        <v>0</v>
      </c>
      <c r="CN43" s="3" t="e">
        <f>+CN41*K43*100/2</f>
        <v>#VALUE!</v>
      </c>
    </row>
    <row r="44" spans="2:103" ht="15" thickBot="1" x14ac:dyDescent="0.2">
      <c r="B44" s="1399"/>
      <c r="C44" s="1411" t="s">
        <v>1002</v>
      </c>
      <c r="D44" s="1412"/>
      <c r="E44" s="1150"/>
      <c r="F44" s="472" t="s">
        <v>1003</v>
      </c>
      <c r="G44" s="1136"/>
      <c r="H44" s="459" t="s">
        <v>1004</v>
      </c>
      <c r="I44" s="460"/>
      <c r="J44" s="466"/>
      <c r="K44" s="580"/>
      <c r="L44" s="1275"/>
      <c r="M44" s="1275"/>
      <c r="N44" s="225"/>
      <c r="O44" s="593"/>
      <c r="P44" s="593"/>
      <c r="Q44" s="593"/>
      <c r="R44" s="467"/>
      <c r="S44" s="422"/>
      <c r="T44" s="422"/>
      <c r="U44" s="423"/>
      <c r="V44" s="468"/>
      <c r="W44" s="1016" t="str">
        <f>+$M$169</f>
        <v/>
      </c>
      <c r="X44" s="423"/>
      <c r="Y44" s="423"/>
      <c r="Z44" s="423"/>
      <c r="AA44" s="423"/>
      <c r="AB44" s="423"/>
      <c r="AC44" s="467"/>
      <c r="AD44" s="422"/>
      <c r="AE44" s="225"/>
      <c r="AF44" s="423"/>
      <c r="AG44" s="422"/>
      <c r="AH44" s="422"/>
      <c r="AI44" s="593"/>
      <c r="AJ44" s="424"/>
      <c r="AK44" s="425"/>
      <c r="AL44" s="194"/>
      <c r="AP44" s="515" t="s">
        <v>984</v>
      </c>
      <c r="AQ44" s="3">
        <f>IF(F43=0,1,ROUND((F43+G43)/2,2))</f>
        <v>1</v>
      </c>
      <c r="AT44" s="615" t="s">
        <v>881</v>
      </c>
      <c r="AU44" s="3">
        <f>+BM43</f>
        <v>-15</v>
      </c>
      <c r="AV44" s="63">
        <f>ROUNDUP(IF(VALUE(RIGHT($G$10,3))=1,AW44*0.7,0),0)</f>
        <v>0</v>
      </c>
      <c r="AW44" s="63" t="e">
        <f>ROUNDUP(IF(VALUE(RIGHT($G$10,4))=1,$M$10*30*F39*100,$M$10*20*F39*100),0)</f>
        <v>#VALUE!</v>
      </c>
      <c r="AX44" s="10" t="e">
        <f>IF(AZ42=2,ROUND(VLOOKUP(AU42,許容応力!$B$6:$K$22,7)*1.1/3*100,0),ROUND(VLOOKUP(AU42,許容応力!$B$6:$K$22,7)*1.1/3*1.3*100,0))</f>
        <v>#VALUE!</v>
      </c>
      <c r="AY44" s="63" t="e">
        <f>ROUND(VLOOKUP(AU42,許容応力!$B$6:$K$22,7)*100*2/3*0.8,0)</f>
        <v>#VALUE!</v>
      </c>
      <c r="AZ44" s="10" t="e">
        <f>IF(AZ42=2,ROUND(VLOOKUP(AU42,許容応力!$B$6:$K$22,8)*1.1/3*100,0),ROUND(VLOOKUP(AU42,許容応力!$B$6:$K$22,8)*1.1/3*1.3*100,0))</f>
        <v>#VALUE!</v>
      </c>
      <c r="BA44" s="63" t="e">
        <f>ROUND(VLOOKUP(AU42,許容応力!$B$6:$K$22,8)*100*2/3*0.8,0)</f>
        <v>#VALUE!</v>
      </c>
      <c r="BB44" s="10" t="e">
        <f>IF(AZ42=2,ROUND(VLOOKUP(AU42,許容応力!$B$6:$K$22,9)*1.1/3*100,0),ROUND(VLOOKUP(AU42,許容応力!$B$6:$K$22,9)*1.1/3*1.3*100,0))</f>
        <v>#VALUE!</v>
      </c>
      <c r="BC44" s="63" t="e">
        <f>ROUND(VLOOKUP(AU42,許容応力!$B$6:$K$22,9)*100*2/3*0.8,0)</f>
        <v>#VALUE!</v>
      </c>
      <c r="BD44" s="63">
        <f>IF(AZ42=2,400,200)</f>
        <v>400</v>
      </c>
      <c r="BE44" s="63">
        <f>ROUND(AQ43/BD44,2)</f>
        <v>0</v>
      </c>
    </row>
    <row r="45" spans="2:103" x14ac:dyDescent="0.15">
      <c r="B45" s="194"/>
      <c r="C45" s="194"/>
      <c r="D45" s="194"/>
      <c r="E45" s="194"/>
      <c r="F45" s="194"/>
      <c r="G45" s="194"/>
      <c r="H45" s="194"/>
      <c r="I45" s="194"/>
      <c r="J45" s="194"/>
      <c r="K45" s="194"/>
      <c r="L45" s="194"/>
      <c r="M45" s="194"/>
      <c r="N45" s="194"/>
      <c r="O45" s="194"/>
      <c r="P45" s="194"/>
      <c r="Q45" s="194"/>
      <c r="R45" s="194"/>
      <c r="S45" s="194"/>
      <c r="T45" s="194"/>
      <c r="U45" s="194"/>
      <c r="V45" s="194"/>
      <c r="W45" s="1023"/>
      <c r="X45" s="194"/>
      <c r="Y45" s="194"/>
      <c r="Z45" s="194"/>
      <c r="AA45" s="194"/>
      <c r="AB45" s="194"/>
      <c r="AC45" s="194"/>
      <c r="AD45" s="194"/>
      <c r="AE45" s="194"/>
      <c r="AF45" s="194"/>
      <c r="AG45" s="194"/>
      <c r="AH45" s="194"/>
      <c r="AI45" s="194"/>
      <c r="AJ45" s="194"/>
      <c r="AK45" s="194"/>
      <c r="AL45" s="194"/>
      <c r="AR45" s="643"/>
      <c r="AS45" s="644"/>
      <c r="AT45" s="645" t="s">
        <v>1046</v>
      </c>
    </row>
    <row r="46" spans="2:103" x14ac:dyDescent="0.15">
      <c r="B46" s="194"/>
      <c r="C46" s="194"/>
      <c r="D46" s="194"/>
      <c r="E46" s="608"/>
      <c r="F46" s="609" t="s">
        <v>866</v>
      </c>
      <c r="G46" s="525" t="s">
        <v>866</v>
      </c>
      <c r="H46" s="490"/>
      <c r="I46" s="302"/>
      <c r="J46" s="490"/>
      <c r="K46" s="646"/>
      <c r="L46" s="515"/>
      <c r="M46" s="520"/>
      <c r="N46" s="481"/>
      <c r="O46" s="302"/>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T46" s="551"/>
    </row>
    <row r="47" spans="2:103" x14ac:dyDescent="0.15">
      <c r="B47" s="608" t="s">
        <v>1070</v>
      </c>
      <c r="C47" s="194"/>
      <c r="D47" s="194"/>
      <c r="E47" s="608"/>
      <c r="F47" s="621"/>
      <c r="G47" s="621"/>
      <c r="H47" s="617"/>
      <c r="I47" s="302"/>
      <c r="J47" s="618"/>
      <c r="K47" s="626"/>
      <c r="L47" s="515"/>
      <c r="M47" s="495"/>
      <c r="N47" s="481"/>
      <c r="O47" s="302"/>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103" x14ac:dyDescent="0.15">
      <c r="B48" s="194"/>
      <c r="C48" s="194"/>
      <c r="D48" s="194"/>
      <c r="E48" s="608"/>
      <c r="F48" s="615"/>
      <c r="G48" s="618"/>
      <c r="H48" s="617"/>
      <c r="I48" s="302"/>
      <c r="J48" s="490"/>
      <c r="K48" s="626"/>
      <c r="L48" s="494"/>
      <c r="M48" s="494"/>
      <c r="N48" s="481"/>
      <c r="O48" s="302"/>
      <c r="P48" s="302"/>
      <c r="Q48" s="302"/>
      <c r="R48" s="302"/>
      <c r="S48" s="769"/>
      <c r="T48" s="769"/>
      <c r="U48" s="302"/>
      <c r="V48" s="302"/>
      <c r="W48" s="302"/>
      <c r="X48" s="302"/>
      <c r="Y48" s="302"/>
      <c r="Z48" s="302"/>
      <c r="AA48" s="302"/>
      <c r="AB48" s="302"/>
      <c r="AC48" s="302"/>
      <c r="AD48" s="194"/>
      <c r="AE48" s="194"/>
      <c r="AF48" s="194"/>
      <c r="AG48" s="194"/>
      <c r="AH48" s="194"/>
      <c r="AI48" s="194"/>
      <c r="AJ48" s="194"/>
      <c r="AK48" s="194"/>
      <c r="AL48" s="194"/>
      <c r="AQ48" s="644"/>
      <c r="AR48" s="643" t="s">
        <v>1047</v>
      </c>
      <c r="AS48" s="644"/>
      <c r="AT48" s="643" t="s">
        <v>1048</v>
      </c>
      <c r="AV48" s="3" t="s">
        <v>1049</v>
      </c>
      <c r="AX48" s="644"/>
      <c r="AY48" s="643" t="s">
        <v>1027</v>
      </c>
      <c r="AZ48" s="644"/>
      <c r="BA48" s="643" t="s">
        <v>1050</v>
      </c>
      <c r="BB48" s="3" t="s">
        <v>1053</v>
      </c>
    </row>
    <row r="49" spans="2:117" x14ac:dyDescent="0.15">
      <c r="B49" s="194"/>
      <c r="C49" s="194"/>
      <c r="D49" s="194"/>
      <c r="E49" s="479" t="s">
        <v>865</v>
      </c>
      <c r="F49" s="1689" t="s">
        <v>1017</v>
      </c>
      <c r="G49" s="1690"/>
      <c r="H49" s="617" t="s">
        <v>874</v>
      </c>
      <c r="I49" s="302"/>
      <c r="J49" s="618"/>
      <c r="K49" s="626"/>
      <c r="L49" s="494"/>
      <c r="M49" s="520"/>
      <c r="N49" s="520"/>
      <c r="O49" s="302"/>
      <c r="P49" s="302"/>
      <c r="Q49" s="302"/>
      <c r="R49" s="302"/>
      <c r="S49" s="302"/>
      <c r="T49" s="302"/>
      <c r="U49" s="302"/>
      <c r="V49" s="302"/>
      <c r="W49" s="302"/>
      <c r="X49" s="302"/>
      <c r="Y49" s="302"/>
      <c r="Z49" s="302"/>
      <c r="AA49" s="302"/>
      <c r="AB49" s="302"/>
      <c r="AC49" s="302"/>
      <c r="AD49" s="194"/>
      <c r="AE49" s="194"/>
      <c r="AF49" s="194"/>
      <c r="AG49" s="194"/>
      <c r="AH49" s="194"/>
      <c r="AI49" s="194"/>
      <c r="AJ49" s="194"/>
      <c r="AK49" s="194"/>
      <c r="AL49" s="194"/>
      <c r="AR49" s="647"/>
      <c r="AT49" s="2"/>
      <c r="AY49" s="647"/>
      <c r="BA49" s="647" t="s">
        <v>1028</v>
      </c>
      <c r="BB49" s="3" t="s">
        <v>1051</v>
      </c>
    </row>
    <row r="50" spans="2:117" x14ac:dyDescent="0.15">
      <c r="B50" s="194"/>
      <c r="C50" s="194"/>
      <c r="D50" s="194"/>
      <c r="E50" s="608"/>
      <c r="F50" s="621"/>
      <c r="G50" s="648" t="s">
        <v>876</v>
      </c>
      <c r="H50" s="617"/>
      <c r="I50" s="302"/>
      <c r="J50" s="618"/>
      <c r="K50" s="617"/>
      <c r="L50" s="515"/>
      <c r="M50" s="520"/>
      <c r="N50" s="481"/>
      <c r="O50" s="302"/>
      <c r="P50" s="302"/>
      <c r="Q50" s="302"/>
      <c r="R50" s="302"/>
      <c r="S50" s="302"/>
      <c r="T50" s="302"/>
      <c r="U50" s="302"/>
      <c r="V50" s="302"/>
      <c r="W50" s="302"/>
      <c r="X50" s="302"/>
      <c r="Y50" s="302"/>
      <c r="Z50" s="302"/>
      <c r="AA50" s="302"/>
      <c r="AB50" s="302"/>
      <c r="AC50" s="302"/>
      <c r="AD50" s="194"/>
      <c r="AE50" s="194"/>
      <c r="AF50" s="194"/>
      <c r="AG50" s="194"/>
      <c r="AH50" s="194"/>
      <c r="AI50" s="194"/>
      <c r="AJ50" s="194"/>
      <c r="AK50" s="194"/>
      <c r="AL50" s="194"/>
      <c r="AT50" s="2"/>
      <c r="BA50" s="647"/>
    </row>
    <row r="51" spans="2:117" ht="15" thickBot="1" x14ac:dyDescent="0.2">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BA51" s="647"/>
    </row>
    <row r="52" spans="2:117" ht="15" thickBot="1" x14ac:dyDescent="0.2">
      <c r="B52" s="1172" t="s">
        <v>192</v>
      </c>
      <c r="C52" s="1173"/>
      <c r="D52" s="1173"/>
      <c r="E52" s="1173"/>
      <c r="F52" s="167" t="s">
        <v>161</v>
      </c>
      <c r="G52" s="408" t="str">
        <f>+IF(VALUE(RIGHT(J52,4))&lt;=0.5,K631,K630)</f>
        <v>一般地域               2</v>
      </c>
      <c r="H52" s="1350" t="s">
        <v>771</v>
      </c>
      <c r="I52" s="1351"/>
      <c r="J52" s="1353">
        <f>+断面算定!P3</f>
        <v>0</v>
      </c>
      <c r="K52" s="1174"/>
      <c r="L52" s="169" t="s">
        <v>162</v>
      </c>
      <c r="M52" s="170">
        <f>+VALUE(RIGHT(J52,4))</f>
        <v>0</v>
      </c>
      <c r="N52" s="635" t="s">
        <v>475</v>
      </c>
      <c r="O52" s="380"/>
      <c r="P52" s="225"/>
      <c r="Q52" s="225"/>
      <c r="R52" s="225"/>
      <c r="S52" s="468"/>
      <c r="T52" s="468"/>
      <c r="U52" s="225"/>
      <c r="V52" s="225"/>
      <c r="W52" s="225"/>
      <c r="X52" s="225"/>
      <c r="Y52" s="225"/>
      <c r="Z52" s="225"/>
      <c r="AA52" s="225"/>
      <c r="AB52" s="225"/>
      <c r="AC52" s="225"/>
      <c r="AD52" s="225"/>
      <c r="AE52" s="225"/>
      <c r="AF52" s="225"/>
      <c r="AG52" s="225"/>
      <c r="AH52" s="225"/>
      <c r="AI52" s="225"/>
      <c r="AJ52" s="225"/>
      <c r="AK52" s="225"/>
      <c r="AL52" s="225"/>
      <c r="AM52" s="302"/>
      <c r="AN52" s="9"/>
      <c r="BA52" s="3" t="s">
        <v>1052</v>
      </c>
      <c r="CP52" s="3" t="e">
        <f>+POWER(ROUNDUP(CV58*12/12/0.9/2,2),1/3)*CO54</f>
        <v>#VALUE!</v>
      </c>
    </row>
    <row r="53" spans="2:117" x14ac:dyDescent="0.15">
      <c r="B53" s="1235"/>
      <c r="C53" s="1382"/>
      <c r="D53" s="1382"/>
      <c r="E53" s="1382"/>
      <c r="F53" s="1172" t="s">
        <v>653</v>
      </c>
      <c r="G53" s="1174"/>
      <c r="H53" s="1279" t="s">
        <v>1210</v>
      </c>
      <c r="I53" s="1385"/>
      <c r="J53" s="1229"/>
      <c r="K53" s="1363"/>
      <c r="L53" s="1655" t="s">
        <v>207</v>
      </c>
      <c r="M53" s="1656"/>
      <c r="N53" s="1661" t="s">
        <v>419</v>
      </c>
      <c r="O53" s="1662"/>
      <c r="P53" s="1342" t="s">
        <v>165</v>
      </c>
      <c r="Q53" s="1406"/>
      <c r="R53" s="1227" t="s">
        <v>243</v>
      </c>
      <c r="S53" s="1250"/>
      <c r="T53" s="1250"/>
      <c r="U53" s="1250"/>
      <c r="V53" s="1283"/>
      <c r="W53" s="1200" t="s">
        <v>241</v>
      </c>
      <c r="X53" s="1227" t="s">
        <v>199</v>
      </c>
      <c r="Y53" s="1228"/>
      <c r="Z53" s="1229"/>
      <c r="AA53" s="1227" t="s">
        <v>200</v>
      </c>
      <c r="AB53" s="1228"/>
      <c r="AC53" s="1229"/>
      <c r="AD53" s="1249" t="s">
        <v>709</v>
      </c>
      <c r="AE53" s="1665"/>
      <c r="AF53" s="1665"/>
      <c r="AG53" s="1665"/>
      <c r="AH53" s="1665"/>
      <c r="AI53" s="1665"/>
      <c r="AJ53" s="1666"/>
      <c r="AK53" s="1259" t="s">
        <v>166</v>
      </c>
      <c r="AL53" s="1260"/>
      <c r="AM53" s="596"/>
      <c r="AN53" s="435"/>
    </row>
    <row r="54" spans="2:117" ht="15" thickBot="1" x14ac:dyDescent="0.2">
      <c r="B54" s="1383"/>
      <c r="C54" s="1384"/>
      <c r="D54" s="1384"/>
      <c r="E54" s="1384"/>
      <c r="F54" s="1383"/>
      <c r="G54" s="1417"/>
      <c r="H54" s="1691">
        <f>+断面算定!H5</f>
        <v>0</v>
      </c>
      <c r="I54" s="1692"/>
      <c r="J54" s="1422"/>
      <c r="K54" s="1425"/>
      <c r="L54" s="781">
        <f>+断面算定!T3</f>
        <v>0</v>
      </c>
      <c r="M54" s="636" t="s">
        <v>208</v>
      </c>
      <c r="N54" s="1663"/>
      <c r="O54" s="1664"/>
      <c r="P54" s="1252"/>
      <c r="Q54" s="1285"/>
      <c r="R54" s="1251"/>
      <c r="S54" s="1252"/>
      <c r="T54" s="1252"/>
      <c r="U54" s="1252"/>
      <c r="V54" s="1285"/>
      <c r="W54" s="1290"/>
      <c r="X54" s="1415"/>
      <c r="Y54" s="1288"/>
      <c r="Z54" s="1289"/>
      <c r="AA54" s="1415"/>
      <c r="AB54" s="1288"/>
      <c r="AC54" s="1289"/>
      <c r="AD54" s="1251"/>
      <c r="AE54" s="1252"/>
      <c r="AF54" s="1252"/>
      <c r="AG54" s="1252"/>
      <c r="AH54" s="1252"/>
      <c r="AI54" s="1252"/>
      <c r="AJ54" s="1524"/>
      <c r="AK54" s="1261"/>
      <c r="AL54" s="1262"/>
      <c r="AM54" s="596"/>
      <c r="AN54" s="435"/>
    </row>
    <row r="55" spans="2:117" x14ac:dyDescent="0.15">
      <c r="B55" s="1189" t="s">
        <v>167</v>
      </c>
      <c r="C55" s="1190"/>
      <c r="D55" s="1200" t="s">
        <v>807</v>
      </c>
      <c r="E55" s="1192" t="s">
        <v>190</v>
      </c>
      <c r="F55" s="1157"/>
      <c r="G55" s="1209" t="s">
        <v>1193</v>
      </c>
      <c r="H55" s="1427"/>
      <c r="I55" s="1197" t="s">
        <v>967</v>
      </c>
      <c r="J55" s="1393"/>
      <c r="K55" s="1394"/>
      <c r="L55" s="748" t="s">
        <v>15</v>
      </c>
      <c r="M55" s="1157" t="s">
        <v>783</v>
      </c>
      <c r="N55" s="1157"/>
      <c r="O55" s="1157"/>
      <c r="P55" s="566" t="s">
        <v>188</v>
      </c>
      <c r="Q55" s="1674" t="s">
        <v>242</v>
      </c>
      <c r="R55" s="1293" t="s">
        <v>1187</v>
      </c>
      <c r="S55" s="1209" t="s">
        <v>418</v>
      </c>
      <c r="T55" s="1210"/>
      <c r="U55" s="1211"/>
      <c r="V55" s="1306" t="s">
        <v>1069</v>
      </c>
      <c r="W55" s="1290"/>
      <c r="X55" s="586" t="s">
        <v>188</v>
      </c>
      <c r="Y55" s="586" t="s">
        <v>189</v>
      </c>
      <c r="Z55" s="586" t="s">
        <v>242</v>
      </c>
      <c r="AA55" s="586" t="s">
        <v>188</v>
      </c>
      <c r="AB55" s="586" t="s">
        <v>189</v>
      </c>
      <c r="AC55" s="586" t="s">
        <v>242</v>
      </c>
      <c r="AD55" s="1237">
        <v>1</v>
      </c>
      <c r="AE55" s="1238"/>
      <c r="AF55" s="1237">
        <v>2</v>
      </c>
      <c r="AG55" s="1238"/>
      <c r="AH55" s="1293" t="s">
        <v>486</v>
      </c>
      <c r="AI55" s="1265" t="s">
        <v>710</v>
      </c>
      <c r="AJ55" s="1242" t="s">
        <v>165</v>
      </c>
      <c r="AK55" s="1261"/>
      <c r="AL55" s="1262"/>
      <c r="AM55" s="596"/>
      <c r="AN55" s="435"/>
      <c r="BM55" s="349" t="s">
        <v>1045</v>
      </c>
      <c r="BO55" s="436" t="s">
        <v>1054</v>
      </c>
      <c r="BQ55" s="436" t="s">
        <v>1056</v>
      </c>
      <c r="BS55" s="436" t="s">
        <v>1058</v>
      </c>
      <c r="BU55" s="63"/>
      <c r="BV55" s="63"/>
      <c r="BX55" s="410"/>
      <c r="BY55" s="410" t="s">
        <v>1001</v>
      </c>
      <c r="CA55" s="410" t="s">
        <v>1005</v>
      </c>
      <c r="CB55" s="3" t="s">
        <v>1007</v>
      </c>
      <c r="CC55" s="3" t="s">
        <v>1008</v>
      </c>
      <c r="CD55" s="3" t="s">
        <v>1009</v>
      </c>
      <c r="CE55" s="3" t="s">
        <v>1010</v>
      </c>
      <c r="CF55" s="410" t="s">
        <v>1006</v>
      </c>
      <c r="CG55" s="410" t="s">
        <v>1016</v>
      </c>
    </row>
    <row r="56" spans="2:117" ht="15" thickBot="1" x14ac:dyDescent="0.2">
      <c r="B56" s="437"/>
      <c r="C56" s="570" t="s">
        <v>809</v>
      </c>
      <c r="D56" s="1392"/>
      <c r="E56" s="417" t="s">
        <v>184</v>
      </c>
      <c r="F56" s="418" t="s">
        <v>191</v>
      </c>
      <c r="G56" s="1034" t="s">
        <v>1061</v>
      </c>
      <c r="H56" s="1034" t="s">
        <v>1063</v>
      </c>
      <c r="I56" s="1034" t="s">
        <v>965</v>
      </c>
      <c r="J56" s="1034" t="s">
        <v>966</v>
      </c>
      <c r="K56" s="1034"/>
      <c r="L56" s="728"/>
      <c r="M56" s="459" t="s">
        <v>781</v>
      </c>
      <c r="N56" s="459" t="s">
        <v>163</v>
      </c>
      <c r="O56" s="459" t="s">
        <v>782</v>
      </c>
      <c r="P56" s="567" t="s">
        <v>189</v>
      </c>
      <c r="Q56" s="1266"/>
      <c r="R56" s="1291"/>
      <c r="S56" s="567" t="s">
        <v>480</v>
      </c>
      <c r="T56" s="567" t="s">
        <v>481</v>
      </c>
      <c r="U56" s="567" t="s">
        <v>482</v>
      </c>
      <c r="V56" s="1291"/>
      <c r="W56" s="1291"/>
      <c r="X56" s="179" t="s">
        <v>194</v>
      </c>
      <c r="Y56" s="179" t="s">
        <v>195</v>
      </c>
      <c r="Z56" s="179" t="s">
        <v>485</v>
      </c>
      <c r="AA56" s="179" t="s">
        <v>194</v>
      </c>
      <c r="AB56" s="179" t="s">
        <v>195</v>
      </c>
      <c r="AC56" s="179" t="s">
        <v>485</v>
      </c>
      <c r="AD56" s="581" t="s">
        <v>756</v>
      </c>
      <c r="AE56" s="581" t="s">
        <v>757</v>
      </c>
      <c r="AF56" s="581" t="s">
        <v>758</v>
      </c>
      <c r="AG56" s="581" t="s">
        <v>759</v>
      </c>
      <c r="AH56" s="1416"/>
      <c r="AI56" s="1266"/>
      <c r="AJ56" s="1667"/>
      <c r="AK56" s="1263"/>
      <c r="AL56" s="1264"/>
      <c r="AM56" s="596"/>
      <c r="AN56" s="435"/>
      <c r="AR56" s="349" t="s">
        <v>707</v>
      </c>
      <c r="AS56" s="349" t="s">
        <v>703</v>
      </c>
      <c r="AT56" s="18" t="s">
        <v>209</v>
      </c>
      <c r="AU56" s="18" t="s">
        <v>210</v>
      </c>
      <c r="AV56" s="17" t="s">
        <v>83</v>
      </c>
      <c r="AW56" s="3" t="s">
        <v>707</v>
      </c>
      <c r="BG56" s="349" t="s">
        <v>486</v>
      </c>
      <c r="BH56" s="349" t="s">
        <v>976</v>
      </c>
      <c r="BI56" s="349"/>
      <c r="BJ56" s="349" t="s">
        <v>486</v>
      </c>
      <c r="BK56" s="349" t="s">
        <v>976</v>
      </c>
      <c r="BM56" s="349" t="s">
        <v>486</v>
      </c>
      <c r="BN56" s="349" t="s">
        <v>976</v>
      </c>
      <c r="BO56" s="349" t="s">
        <v>486</v>
      </c>
      <c r="BP56" s="349" t="s">
        <v>976</v>
      </c>
      <c r="BQ56" s="349" t="s">
        <v>486</v>
      </c>
      <c r="BR56" s="349" t="s">
        <v>976</v>
      </c>
      <c r="BS56" s="349" t="s">
        <v>486</v>
      </c>
      <c r="BT56" s="349" t="s">
        <v>976</v>
      </c>
      <c r="BU56" s="9" t="s">
        <v>242</v>
      </c>
      <c r="BX56" s="63"/>
      <c r="BY56" s="63" t="s">
        <v>201</v>
      </c>
      <c r="BZ56" s="63" t="s">
        <v>202</v>
      </c>
      <c r="CA56" s="3">
        <v>1</v>
      </c>
      <c r="CB56" s="3">
        <v>2</v>
      </c>
      <c r="CC56" s="3">
        <v>3</v>
      </c>
      <c r="CD56" s="3">
        <v>4</v>
      </c>
      <c r="CE56" s="3">
        <v>5</v>
      </c>
      <c r="CF56" s="3">
        <v>6</v>
      </c>
      <c r="DA56" s="63" t="s">
        <v>201</v>
      </c>
      <c r="DB56" s="63" t="s">
        <v>202</v>
      </c>
      <c r="DE56" s="412" t="s">
        <v>1013</v>
      </c>
      <c r="DF56" s="349" t="s">
        <v>1014</v>
      </c>
      <c r="DG56" s="412" t="s">
        <v>1015</v>
      </c>
      <c r="DH56" s="412" t="s">
        <v>1013</v>
      </c>
      <c r="DI56" s="349" t="s">
        <v>1014</v>
      </c>
      <c r="DJ56" s="412" t="s">
        <v>1015</v>
      </c>
      <c r="DK56" s="3" t="s">
        <v>1223</v>
      </c>
      <c r="DL56" s="3" t="s">
        <v>1224</v>
      </c>
    </row>
    <row r="57" spans="2:117" x14ac:dyDescent="0.15">
      <c r="B57" s="1588" t="s">
        <v>1075</v>
      </c>
      <c r="C57" s="1688"/>
      <c r="D57" s="438"/>
      <c r="E57" s="1687"/>
      <c r="F57" s="1668" t="str">
        <f>IF(E57=0,"",ROUND(SQRT(COS(AV57*1.5*PI()/180)),3))</f>
        <v/>
      </c>
      <c r="G57" s="474"/>
      <c r="H57" s="474"/>
      <c r="I57" s="802"/>
      <c r="J57" s="802"/>
      <c r="K57" s="1033"/>
      <c r="L57" s="1657"/>
      <c r="M57" s="1654"/>
      <c r="N57" s="1229">
        <f>+IF(M57=0,0,"×")</f>
        <v>0</v>
      </c>
      <c r="O57" s="1295">
        <f>IF(M57=0,0,CN58)</f>
        <v>0</v>
      </c>
      <c r="P57" s="1296" t="str">
        <f>IF(X57=+"","",IF(AND(X57&lt;=1,Y57&lt;=1,AA57&lt;=1,AB57&lt;=1),"OK!","NO!"))</f>
        <v/>
      </c>
      <c r="Q57" s="1296">
        <f>IF(U57=0,0,IF(AND(S57=0,W61=0),0,IF(IF(Z57&gt;=AC57,Z57,AC57)&lt;=1,"OK!","NO!")))</f>
        <v>0</v>
      </c>
      <c r="R57" s="1659"/>
      <c r="S57" s="1269"/>
      <c r="T57" s="1271">
        <f>IF(S57=0,0,BU57)</f>
        <v>0</v>
      </c>
      <c r="U57" s="1253">
        <f>IF(AND(T61=0,S57=0),0,+IF(AND(VALUE(RIGHT(R57,4))=2,T61&gt;0),0,IF(AND(VALUE(RIGHT(R57,4))=1,S57&gt;0),0,DM57)))</f>
        <v>0</v>
      </c>
      <c r="V57" s="1257">
        <f>IF(S57=0,0,IF(BG61&gt;=BJ61,BG61,BJ61))</f>
        <v>0</v>
      </c>
      <c r="W57" s="1652"/>
      <c r="X57" s="1257" t="str">
        <f>IF(O57=0,"",ROUNDUP($BE61/$AW61,2))</f>
        <v/>
      </c>
      <c r="Y57" s="1257" t="str">
        <f>IF(O57=0,"",ROUND($BF61/$BD61,2))</f>
        <v/>
      </c>
      <c r="Z57" s="1257">
        <f>IF(L57=0,0,IF(AND(S57=0,W61=0),0,IF(S57=0,ROUNDUP((BC59+CB60)/(AY61*$N$181*AR11*Y61/100),2),+BV57)))</f>
        <v>0</v>
      </c>
      <c r="AA57" s="1257" t="str">
        <f>IF(O57=0,"",ROUNDUP($BH61/$AX61,2))</f>
        <v/>
      </c>
      <c r="AB57" s="1257" t="str">
        <f>IF(O57=0,"",ROUNDUP($BI61/$BD61,2))</f>
        <v/>
      </c>
      <c r="AC57" s="1257">
        <f>IF(L57=0,0,IF(AND(S57=0,W61=0),0,IF(S57=0,ROUNDUP((BE59+CB60)/(AZ61*$N$181*AR11*Y61/100),2),+BW57)))</f>
        <v>0</v>
      </c>
      <c r="AD57" s="158"/>
      <c r="AE57" s="426"/>
      <c r="AF57" s="430"/>
      <c r="AG57" s="428"/>
      <c r="AH57" s="1253">
        <f>IF(AD57=0,0,ROUND(AD57*AE57+AF57*AG57+AD58*AE58+AF58*AG58,2))</f>
        <v>0</v>
      </c>
      <c r="AI57" s="1253">
        <f>IF(AD57=0,0,IF(AN57=1,AM57/(AR11*Y61),AM57))</f>
        <v>0</v>
      </c>
      <c r="AJ57" s="1255" t="str">
        <f>IF(AI57=0,"",IF(AI57&lt;=1,"OK!","NO!"))</f>
        <v/>
      </c>
      <c r="AK57" s="182">
        <f>+IF(J62=0,0,"1/")</f>
        <v>0</v>
      </c>
      <c r="AL57" s="183">
        <f>IF(J62=0,0,+BC61)</f>
        <v>0</v>
      </c>
      <c r="AM57" s="3" t="e">
        <f>+IF(BM61&gt;=BN61,BM61+DK58,BN61+DL58)</f>
        <v>#DIV/0!</v>
      </c>
      <c r="AN57" s="3">
        <f>IF(Q61=0,0,+VALUE(RIGHT(Q61,4)))</f>
        <v>0</v>
      </c>
      <c r="AQ57" s="479" t="s">
        <v>877</v>
      </c>
      <c r="AR57" s="632">
        <f>+準備!G57+AT57</f>
        <v>850</v>
      </c>
      <c r="AS57" s="632" t="e">
        <f>+準備!G57+AU57</f>
        <v>#VALUE!</v>
      </c>
      <c r="AT57" s="63">
        <f>ROUNDUP(IF(VALUE(RIGHT($G$52,3))=1,AU57*0.7,0),0)</f>
        <v>0</v>
      </c>
      <c r="AU57" s="63" t="e">
        <f>ROUNDUP(IF(VALUE(RIGHT($G$52,4))=1,$M$52*30*F57*100,$M$52*20*F57*100),0)</f>
        <v>#VALUE!</v>
      </c>
      <c r="AV57" s="69">
        <f>ROUND(ATAN(E57/10)*180/PI(),4)</f>
        <v>0</v>
      </c>
      <c r="AW57" s="3">
        <f>+N62</f>
        <v>0</v>
      </c>
      <c r="AX57" s="3" t="s">
        <v>1033</v>
      </c>
      <c r="AY57" s="3" t="e">
        <f>ROUND($AU58*$AU59/$AW57*$AR58,1)</f>
        <v>#DIV/0!</v>
      </c>
      <c r="AZ57" s="641">
        <f>+AU59</f>
        <v>0</v>
      </c>
      <c r="BA57" s="640">
        <f>+AW58</f>
        <v>0</v>
      </c>
      <c r="BB57" s="3" t="e">
        <f>ROUND($AY57*$BA57/$AZ57+$AY58,0)</f>
        <v>#DIV/0!</v>
      </c>
      <c r="BC57" s="3" t="s">
        <v>1035</v>
      </c>
      <c r="BD57" s="3" t="e">
        <f>ROUND($AU58*$AU59/$AW57*$AS58,1)</f>
        <v>#DIV/0!</v>
      </c>
      <c r="BE57" s="3" t="e">
        <f>ROUND($BD57*$BA57/$AZ57+$BD58,0)</f>
        <v>#DIV/0!</v>
      </c>
      <c r="BF57" s="3" t="s">
        <v>1039</v>
      </c>
      <c r="BG57" s="3" t="e">
        <f>ROUND($AU59/$AW57*$AR58,0)</f>
        <v>#DIV/0!</v>
      </c>
      <c r="BH57" s="3" t="e">
        <f>ROUND($AU58/$AW57*$AR58,0)</f>
        <v>#DIV/0!</v>
      </c>
      <c r="BI57" s="3" t="s">
        <v>1043</v>
      </c>
      <c r="BJ57" s="3" t="e">
        <f>ROUND($AU59/$AW57*$AS58,0)</f>
        <v>#DIV/0!</v>
      </c>
      <c r="BK57" s="3" t="e">
        <f>ROUND($AU58/$AW57*$AS58,0)</f>
        <v>#DIV/0!</v>
      </c>
      <c r="BL57" s="3" t="s">
        <v>1057</v>
      </c>
      <c r="BM57" s="3">
        <f>ROUND(POWER($AW57,2)-POWER($AU59,2),0)</f>
        <v>0</v>
      </c>
      <c r="BN57" s="3">
        <f>ROUND(POWER($AW57,2)-POWER($AW59,2),0)</f>
        <v>0</v>
      </c>
      <c r="BO57" s="3">
        <f>+SQRT(POWER(BM57,3))</f>
        <v>0</v>
      </c>
      <c r="BP57" s="3">
        <f>+SQRT(POWER(BN57,3))</f>
        <v>0</v>
      </c>
      <c r="BQ57" s="63" t="e">
        <f>ROUNDUP($AR58*$AU59*$BO57/(9*SQRT(3)*$AT60*$AW57),2)</f>
        <v>#VALUE!</v>
      </c>
      <c r="BR57" s="63" t="e">
        <f>ROUNDUP($AR59*$AW59*$BP57/(9*SQRT(3)*$AT60*$AW57),2)</f>
        <v>#VALUE!</v>
      </c>
      <c r="BS57" s="63" t="e">
        <f>ROUNDUP($AS58*$AU59*$BO57/(9*SQRT(3)*$AT60*$AW57),2)</f>
        <v>#VALUE!</v>
      </c>
      <c r="BT57" s="63" t="e">
        <f>ROUNDUP($AS59*$AW59*$BP57/(9*SQRT(3)*$AT60*$AW57),2)</f>
        <v>#VALUE!</v>
      </c>
      <c r="BU57" s="9">
        <f>IF(O57=0,0,ROUNDUP(SQRT((V57*M57/10*O57/10)/(S57*S57)),2))</f>
        <v>0</v>
      </c>
      <c r="BV57" s="3" t="e">
        <f>ROUND((+BC59+CB60+DA61)/(AY61*U57),2)</f>
        <v>#DIV/0!</v>
      </c>
      <c r="BW57" s="3" t="e">
        <f>ROUND((+BE59+CB60+DB61)/(AZ61*U57),2)</f>
        <v>#DIV/0!</v>
      </c>
      <c r="BX57" s="393"/>
      <c r="BY57" s="803" t="s">
        <v>269</v>
      </c>
      <c r="BZ57" s="803" t="s">
        <v>269</v>
      </c>
      <c r="CA57" s="632">
        <f>+準備!$G$20/100</f>
        <v>4.5</v>
      </c>
      <c r="CB57" s="632">
        <f>+準備!$G$24/100</f>
        <v>11</v>
      </c>
      <c r="CC57" s="632">
        <f>+準備!$G$28/100</f>
        <v>14</v>
      </c>
      <c r="CD57" s="632">
        <f>+準備!$G$32/100</f>
        <v>17.5</v>
      </c>
      <c r="CE57" s="632">
        <f>+準備!$G$36/100</f>
        <v>17.5</v>
      </c>
      <c r="CF57" s="632">
        <f>+準備!$G$38/100</f>
        <v>4</v>
      </c>
      <c r="CN57" s="3" t="s">
        <v>998</v>
      </c>
      <c r="CO57" s="3" t="s">
        <v>995</v>
      </c>
      <c r="CP57" s="3" t="s">
        <v>189</v>
      </c>
      <c r="CQ57" s="3" t="s">
        <v>996</v>
      </c>
      <c r="CR57" s="3" t="s">
        <v>189</v>
      </c>
      <c r="CS57" s="3" t="s">
        <v>1059</v>
      </c>
      <c r="CT57" s="3" t="s">
        <v>189</v>
      </c>
      <c r="CU57" s="3" t="s">
        <v>996</v>
      </c>
      <c r="CV57" s="2" t="s">
        <v>189</v>
      </c>
      <c r="CW57" s="548" t="s">
        <v>995</v>
      </c>
      <c r="CX57" s="548" t="s">
        <v>189</v>
      </c>
      <c r="CY57" s="548" t="s">
        <v>996</v>
      </c>
      <c r="CZ57" s="548" t="s">
        <v>189</v>
      </c>
      <c r="DA57" s="803" t="s">
        <v>269</v>
      </c>
      <c r="DB57" s="803" t="s">
        <v>269</v>
      </c>
      <c r="DC57" s="3" t="s">
        <v>189</v>
      </c>
      <c r="DE57" s="3" t="e">
        <f>ROUND(($CB59+DA60)/$CE60,1)</f>
        <v>#N/A</v>
      </c>
      <c r="DF57" s="3" t="e">
        <f>ROUND(($CC60+DC59)/$CE61,2)</f>
        <v>#N/A</v>
      </c>
      <c r="DG57" s="3" t="e">
        <f>ROUND(($CB60+$DA61)/$U57,1)</f>
        <v>#N/A</v>
      </c>
      <c r="DH57" s="3" t="e">
        <f>ROUND(($CB59+DB60)/$CE60,1)</f>
        <v>#N/A</v>
      </c>
      <c r="DI57" s="3" t="e">
        <f>ROUND(($CC60+DD59)/$CE61,2)</f>
        <v>#N/A</v>
      </c>
      <c r="DJ57" s="3" t="e">
        <f>ROUND(($CB60+DB61)/$U57,1)</f>
        <v>#N/A</v>
      </c>
      <c r="DK57" s="3" t="e">
        <f>ROUND(VLOOKUP(VALUE(RIGHT($L57,4)),許容応力!$B$6:$K$22,9)*1.1/3*100,0)</f>
        <v>#VALUE!</v>
      </c>
      <c r="DL57" s="3" t="e">
        <f>ROUND(VLOOKUP(VALUE(RIGHT($L57,4)),許容応力!$B$6:$K$22,9)*2/3*0.8*100,0)</f>
        <v>#VALUE!</v>
      </c>
      <c r="DM57" s="1253">
        <f>IF(AND(S57=0,W61=0),0,IF(T57=0,N$181*AR11*Y61/100,ROUND(POWER(S57*T57,2)/(M57/10*O57/10),2)))</f>
        <v>0</v>
      </c>
    </row>
    <row r="58" spans="2:117" x14ac:dyDescent="0.15">
      <c r="B58" s="1345"/>
      <c r="C58" s="1676"/>
      <c r="D58" s="439"/>
      <c r="E58" s="1677"/>
      <c r="F58" s="1555"/>
      <c r="G58" s="1034" t="s">
        <v>1064</v>
      </c>
      <c r="H58" s="1034" t="s">
        <v>1062</v>
      </c>
      <c r="I58" s="1033"/>
      <c r="J58" s="1034" t="s">
        <v>966</v>
      </c>
      <c r="K58" s="1034" t="s">
        <v>965</v>
      </c>
      <c r="L58" s="1658"/>
      <c r="M58" s="1653"/>
      <c r="N58" s="1285"/>
      <c r="O58" s="1258"/>
      <c r="P58" s="1258"/>
      <c r="Q58" s="1297"/>
      <c r="R58" s="1660"/>
      <c r="S58" s="1270"/>
      <c r="T58" s="1254"/>
      <c r="U58" s="1272"/>
      <c r="V58" s="1254"/>
      <c r="W58" s="1653"/>
      <c r="X58" s="1258"/>
      <c r="Y58" s="1258"/>
      <c r="Z58" s="1254"/>
      <c r="AA58" s="1258"/>
      <c r="AB58" s="1258"/>
      <c r="AC58" s="1254"/>
      <c r="AD58" s="160"/>
      <c r="AE58" s="432"/>
      <c r="AF58" s="433"/>
      <c r="AG58" s="434"/>
      <c r="AH58" s="1254"/>
      <c r="AI58" s="1254"/>
      <c r="AJ58" s="1673"/>
      <c r="AK58" s="184">
        <f>+IF(G62=0,0,"1/")</f>
        <v>0</v>
      </c>
      <c r="AL58" s="185">
        <f>IF(J62=0,0,+BC62)</f>
        <v>0</v>
      </c>
      <c r="AM58" s="597"/>
      <c r="AN58" s="407"/>
      <c r="AQ58" s="638" t="s">
        <v>1023</v>
      </c>
      <c r="AR58" s="3">
        <f>ROUND(AR57*(G57+H57)/2*(I57+J57)/2,0)</f>
        <v>0</v>
      </c>
      <c r="AS58" s="3" t="e">
        <f>ROUND(AS57*(G57+H57)/2*(I57+J57)/2,0)</f>
        <v>#VALUE!</v>
      </c>
      <c r="AT58" s="3" t="s">
        <v>1029</v>
      </c>
      <c r="AU58" s="640">
        <f>+J62*100</f>
        <v>0</v>
      </c>
      <c r="AV58" s="3" t="s">
        <v>1031</v>
      </c>
      <c r="AW58" s="640">
        <f>+L62*100</f>
        <v>0</v>
      </c>
      <c r="AX58" s="3" t="s">
        <v>1034</v>
      </c>
      <c r="AY58" s="3" t="e">
        <f>ROUND($AW58*$AW59/$AW57*$AR59,1)</f>
        <v>#DIV/0!</v>
      </c>
      <c r="AZ58" s="641">
        <f>+AW59</f>
        <v>0</v>
      </c>
      <c r="BA58" s="640">
        <f>+AU58</f>
        <v>0</v>
      </c>
      <c r="BB58" s="3" t="e">
        <f>ROUND($AY58*$BA58/$AZ58+$AY57,0)</f>
        <v>#DIV/0!</v>
      </c>
      <c r="BC58" s="3" t="s">
        <v>1036</v>
      </c>
      <c r="BD58" s="3" t="e">
        <f>ROUND($AW58*$AW59/$AW57*$AS59,1)</f>
        <v>#DIV/0!</v>
      </c>
      <c r="BE58" s="3" t="e">
        <f>ROUND($BD58*$BA58/$AZ58+$BD57,0)</f>
        <v>#DIV/0!</v>
      </c>
      <c r="BF58" s="3" t="s">
        <v>1040</v>
      </c>
      <c r="BG58" s="3" t="e">
        <f>ROUND($AW58/$AW57*$AR59,0)</f>
        <v>#DIV/0!</v>
      </c>
      <c r="BH58" s="3" t="e">
        <f>ROUND($AW59/$AW57*$AR59,0)</f>
        <v>#DIV/0!</v>
      </c>
      <c r="BI58" s="3" t="s">
        <v>1044</v>
      </c>
      <c r="BJ58" s="3" t="e">
        <f>ROUND($AW58/$AW57*$AS59,0)</f>
        <v>#DIV/0!</v>
      </c>
      <c r="BK58" s="3" t="e">
        <f>ROUND($AW59/$AW57*$AS59,0)</f>
        <v>#DIV/0!</v>
      </c>
      <c r="BM58" s="3">
        <f>ROUND(POWER($AW57,2)-POWER($AW58,2),0)</f>
        <v>0</v>
      </c>
      <c r="BN58" s="3">
        <f>ROUND(POWER($AW57,2)-POWER($AW59,2),0)</f>
        <v>0</v>
      </c>
      <c r="BO58" s="3">
        <f>+SQRT(POWER(BM58,3))</f>
        <v>0</v>
      </c>
      <c r="BP58" s="3">
        <f>+SQRT(POWER(BN58,3))</f>
        <v>0</v>
      </c>
      <c r="BQ58" s="63" t="e">
        <f>ROUNDUP($BR57*$AU58/$AW59,2)</f>
        <v>#VALUE!</v>
      </c>
      <c r="BR58" s="63" t="e">
        <f>ROUNDUP($BQ57*$AW58/$AU59,2)</f>
        <v>#VALUE!</v>
      </c>
      <c r="BS58" s="63" t="e">
        <f>ROUNDUP($BT57*$AU58/$AW59,2)</f>
        <v>#VALUE!</v>
      </c>
      <c r="BT58" s="63" t="e">
        <f>ROUNDUP($BS57*$AW58/$AU59,2)</f>
        <v>#VALUE!</v>
      </c>
      <c r="BU58" s="9">
        <f>IF(O58=0,0,ROUNDUP(SQRT(IF(R58=0,(V58*(O58/10-6)*(O58/10-3)),(V58*(R58/10-6)*(R58/10-3)))/(S58*S58)),2))</f>
        <v>0</v>
      </c>
      <c r="BV58" s="3" t="e">
        <f>ROUND((+BC59+CB60+DA61)/(AY62*S58*T58),2)</f>
        <v>#DIV/0!</v>
      </c>
      <c r="BW58" s="3" t="e">
        <f>ROUND((+BE59+CB60+DB61)/(AZ62*S58*T58),2)</f>
        <v>#DIV/0!</v>
      </c>
      <c r="BX58" s="78"/>
      <c r="BY58" s="87" t="e">
        <f>IF(OR(BV59=0,BV59=1),0,ROUNDUP((準備!$G$60/100+準備!$D$48/100)*((F62+G62)/2*100)/200,2))</f>
        <v>#N/A</v>
      </c>
      <c r="BZ58" s="87" t="e">
        <f>+BY58</f>
        <v>#N/A</v>
      </c>
      <c r="CA58" s="3">
        <f t="shared" ref="CA58:CF58" si="10">ROUND(CA57*$I63,2)</f>
        <v>0</v>
      </c>
      <c r="CB58" s="3">
        <f t="shared" si="10"/>
        <v>0</v>
      </c>
      <c r="CC58" s="3">
        <f t="shared" si="10"/>
        <v>0</v>
      </c>
      <c r="CD58" s="3">
        <f t="shared" si="10"/>
        <v>0</v>
      </c>
      <c r="CE58" s="3">
        <f t="shared" si="10"/>
        <v>0</v>
      </c>
      <c r="CF58" s="3">
        <f t="shared" si="10"/>
        <v>0</v>
      </c>
      <c r="CJ58" s="63" t="e">
        <f>+ROUNDUP(CO58/3,-1)*3</f>
        <v>#DIV/0!</v>
      </c>
      <c r="CK58" s="63" t="e">
        <f>+ROUNDUP(CP58/3,-1)*3</f>
        <v>#VALUE!</v>
      </c>
      <c r="CL58" s="63" t="e">
        <f>+ROUNDUP(CQ58/3,-1)*3</f>
        <v>#DIV/0!</v>
      </c>
      <c r="CM58" s="63" t="e">
        <f>+ROUNDUP(CR58/3,-1)*3</f>
        <v>#VALUE!</v>
      </c>
      <c r="CN58" s="649" t="e">
        <f>MAX(CJ58:CM58)</f>
        <v>#DIV/0!</v>
      </c>
      <c r="CO58" s="63" t="e">
        <f>ROUNDUP(SQRT(ROUND($CS58/$AW61*6/($M57/10)/IF($W57=0,1,$W57),1))*10,0)</f>
        <v>#DIV/0!</v>
      </c>
      <c r="CP58" s="3" t="e">
        <f>POWER(ROUNDDOWN($CT58/($M57/10)*12,0)/IF($W57=0,1,$W57)/$BD61,1/3)*10</f>
        <v>#VALUE!</v>
      </c>
      <c r="CQ58" s="63" t="e">
        <f>ROUNDUP(SQRT(ROUND($CU58/$AX61*6/($M57/10)/IF($W57=0,1,$W57),1))*10,0)</f>
        <v>#DIV/0!</v>
      </c>
      <c r="CR58" s="3" t="e">
        <f>POWER(ROUNDDOWN($CV58/($M57/10)*12,0)/IF($W57=0,1,$W57)/$BD61,1/3)*10</f>
        <v>#VALUE!</v>
      </c>
      <c r="CS58" s="63" t="e">
        <f>+AY59+CB59+DA60</f>
        <v>#DIV/0!</v>
      </c>
      <c r="CT58" s="63" t="e">
        <f>+IF(BQ59&gt;=BR59,BQ59+CC60+DC59,BR59+CC60+DC59)</f>
        <v>#VALUE!</v>
      </c>
      <c r="CU58" s="63" t="e">
        <f>+BA59+CB59+DB60</f>
        <v>#DIV/0!</v>
      </c>
      <c r="CV58" s="78" t="e">
        <f>+IF(BS59&gt;=BT59,BS59+CC60+DD59,BT59+CC60+DD59)</f>
        <v>#VALUE!</v>
      </c>
      <c r="CW58" s="548" t="e">
        <f>+CO58</f>
        <v>#DIV/0!</v>
      </c>
      <c r="CX58" s="548" t="e">
        <f>+CP58</f>
        <v>#VALUE!</v>
      </c>
      <c r="CY58" s="548" t="e">
        <f>CQ58</f>
        <v>#DIV/0!</v>
      </c>
      <c r="CZ58" s="548" t="e">
        <f>+CR58</f>
        <v>#VALUE!</v>
      </c>
      <c r="DA58" s="87">
        <f>IF(OR($BV59=0,$BV59=1),0,ROUND((準備!$G$6+$AT57)*$G62/200,2))</f>
        <v>0</v>
      </c>
      <c r="DB58" s="87" t="e">
        <f>IF(OR($BV59=0,$BV59=1),0,ROUND((準備!$G$6+$AU57)*$G62/200,2))</f>
        <v>#VALUE!</v>
      </c>
      <c r="DC58" s="3" t="s">
        <v>168</v>
      </c>
      <c r="DD58" s="3" t="s">
        <v>203</v>
      </c>
      <c r="DE58" s="3" t="e">
        <f t="shared" ref="DE58:DJ58" si="11">+DE57</f>
        <v>#N/A</v>
      </c>
      <c r="DF58" s="3" t="e">
        <f t="shared" si="11"/>
        <v>#N/A</v>
      </c>
      <c r="DG58" s="3" t="e">
        <f t="shared" si="11"/>
        <v>#N/A</v>
      </c>
      <c r="DH58" s="3" t="e">
        <f t="shared" si="11"/>
        <v>#N/A</v>
      </c>
      <c r="DI58" s="3" t="e">
        <f t="shared" si="11"/>
        <v>#N/A</v>
      </c>
      <c r="DJ58" s="3" t="e">
        <f t="shared" si="11"/>
        <v>#N/A</v>
      </c>
      <c r="DK58" s="3" t="e">
        <f>ROUND(DA58*M62*100/2/DK57/AH57,2)</f>
        <v>#VALUE!</v>
      </c>
      <c r="DL58" s="3" t="e">
        <f>ROUND(DB58*M62*100/2/DL57/AH57,2)</f>
        <v>#VALUE!</v>
      </c>
      <c r="DM58" s="1254"/>
    </row>
    <row r="59" spans="2:117" x14ac:dyDescent="0.15">
      <c r="B59" s="1345"/>
      <c r="C59" s="1270"/>
      <c r="D59" s="194"/>
      <c r="E59" s="1270"/>
      <c r="F59" s="1254"/>
      <c r="G59" s="1035">
        <f>+H57</f>
        <v>0</v>
      </c>
      <c r="H59" s="475"/>
      <c r="I59" s="1033"/>
      <c r="J59" s="1033">
        <f>+J57</f>
        <v>0</v>
      </c>
      <c r="K59" s="1033">
        <f>+I57</f>
        <v>0</v>
      </c>
      <c r="L59" s="194"/>
      <c r="M59" s="176"/>
      <c r="N59" s="176"/>
      <c r="O59" s="176"/>
      <c r="P59" s="176"/>
      <c r="Q59" s="451"/>
      <c r="R59" s="878"/>
      <c r="S59" s="1307" t="s">
        <v>1154</v>
      </c>
      <c r="T59" s="1308"/>
      <c r="U59" s="1308"/>
      <c r="V59" s="1308"/>
      <c r="W59" s="1308"/>
      <c r="X59" s="1308"/>
      <c r="Y59" s="1621"/>
      <c r="Z59" s="176"/>
      <c r="AA59" s="176"/>
      <c r="AB59" s="176"/>
      <c r="AC59" s="176"/>
      <c r="AD59" s="176"/>
      <c r="AE59" s="176"/>
      <c r="AF59" s="176"/>
      <c r="AG59" s="176"/>
      <c r="AH59" s="176"/>
      <c r="AI59" s="176"/>
      <c r="AJ59" s="176"/>
      <c r="AK59" s="176"/>
      <c r="AL59" s="469"/>
      <c r="AM59" s="302"/>
      <c r="AQ59" s="638" t="s">
        <v>1024</v>
      </c>
      <c r="AR59" s="3">
        <f>ROUND(AR57*(G59+H59)/2*(K59+J59)/2,0)</f>
        <v>0</v>
      </c>
      <c r="AS59" s="3" t="e">
        <f>ROUND(AS57*(G59+H59)/2*(K59+J59)/2,0)</f>
        <v>#VALUE!</v>
      </c>
      <c r="AT59" s="3" t="s">
        <v>1030</v>
      </c>
      <c r="AU59" s="641">
        <f>(+K62+L62)*100</f>
        <v>0</v>
      </c>
      <c r="AV59" s="3" t="s">
        <v>1032</v>
      </c>
      <c r="AW59" s="641">
        <f>(+J62+K62)*100</f>
        <v>0</v>
      </c>
      <c r="AX59" s="3" t="s">
        <v>1037</v>
      </c>
      <c r="AY59" s="548" t="e">
        <f>+IF(BB57&gt;=BB58,BB57,BB58)</f>
        <v>#DIV/0!</v>
      </c>
      <c r="AZ59" s="3" t="s">
        <v>1038</v>
      </c>
      <c r="BA59" s="548" t="e">
        <f>+IF(BE57&gt;=BE58,BE57,BE58)</f>
        <v>#DIV/0!</v>
      </c>
      <c r="BB59" s="3" t="s">
        <v>1041</v>
      </c>
      <c r="BC59" s="548" t="e">
        <f>+IF(BG59&gt;=BH59,BG59,BH59)</f>
        <v>#DIV/0!</v>
      </c>
      <c r="BD59" s="3" t="s">
        <v>1042</v>
      </c>
      <c r="BE59" s="548" t="e">
        <f>+IF(BJ59&gt;=BK59,BJ59,BK59)</f>
        <v>#DIV/0!</v>
      </c>
      <c r="BG59" s="3" t="e">
        <f>SUM(BG57:BG58)</f>
        <v>#DIV/0!</v>
      </c>
      <c r="BH59" s="3" t="e">
        <f>SUM(BH57:BH58)</f>
        <v>#DIV/0!</v>
      </c>
      <c r="BJ59" s="3" t="e">
        <f>SUM(BJ57:BJ58)</f>
        <v>#DIV/0!</v>
      </c>
      <c r="BK59" s="3" t="e">
        <f>SUM(BK57:BK58)</f>
        <v>#DIV/0!</v>
      </c>
      <c r="BM59" s="3">
        <f t="shared" ref="BM59:BT59" si="12">SUM(BM57:BM58)</f>
        <v>0</v>
      </c>
      <c r="BN59" s="3">
        <f t="shared" si="12"/>
        <v>0</v>
      </c>
      <c r="BO59" s="3">
        <f t="shared" si="12"/>
        <v>0</v>
      </c>
      <c r="BP59" s="3">
        <f t="shared" si="12"/>
        <v>0</v>
      </c>
      <c r="BQ59" s="3" t="e">
        <f t="shared" si="12"/>
        <v>#VALUE!</v>
      </c>
      <c r="BR59" s="3" t="e">
        <f t="shared" si="12"/>
        <v>#VALUE!</v>
      </c>
      <c r="BS59" s="3" t="e">
        <f t="shared" si="12"/>
        <v>#VALUE!</v>
      </c>
      <c r="BT59" s="3" t="e">
        <f t="shared" si="12"/>
        <v>#VALUE!</v>
      </c>
      <c r="BU59" s="3" t="s">
        <v>1012</v>
      </c>
      <c r="BV59" s="3">
        <f>IF(D60=0,0,+VALUE(RIGHT(D60,4)))</f>
        <v>2</v>
      </c>
      <c r="BW59" s="3" t="s">
        <v>1003</v>
      </c>
      <c r="BX59" s="3" t="e">
        <f>+VALUE(RIGHT(G63,4))</f>
        <v>#VALUE!</v>
      </c>
      <c r="BY59" s="3">
        <f>IF(OR(BV60=0,BV60=2),0,HLOOKUP(BX59,CA56:CF58,3))</f>
        <v>0</v>
      </c>
      <c r="BZ59" s="3">
        <f>+BY59</f>
        <v>0</v>
      </c>
      <c r="CA59" s="3" t="s">
        <v>1019</v>
      </c>
      <c r="CB59" s="3" t="e">
        <f>BY60*POWER(AW57,2)/8</f>
        <v>#N/A</v>
      </c>
      <c r="CC59" s="3" t="s">
        <v>189</v>
      </c>
      <c r="CD59" s="3" t="s">
        <v>782</v>
      </c>
      <c r="CE59" s="3" t="e">
        <f>ROUNDUP(+SQRT((CB59+DA60)*6/(AW61*M57/10)),0)</f>
        <v>#N/A</v>
      </c>
      <c r="CJ59" s="63" t="e">
        <f>IF(W58=0.8,VLOOKUP(CW59,$AR$397:$AS$442,2),IF(W58=0.9,VLOOKUP(CW59,$AR$350:$AS$395,2),VLOOKUP(CW59,$AR$303:$AS$348,2)))</f>
        <v>#DIV/0!</v>
      </c>
      <c r="CK59" s="63" t="e">
        <f>IF(W58=0.8,VLOOKUP(CX59,$AT$397:$AU$442,2),IF(W58=0.9,VLOOKUP(CX59,$AT$350:$AU$395,2),VLOOKUP(CX59,$AT$303:$AU$348,2)))</f>
        <v>#VALUE!</v>
      </c>
      <c r="CL59" s="63" t="e">
        <f>IF(W58=0.8,VLOOKUP(CY59,$AR$397:$AS$442,2),IF(W58=0.9,VLOOKUP(CY59,$AR$350:$AS$395,2),VLOOKUP(CY59,$AR$303:$AS$348,2)))</f>
        <v>#DIV/0!</v>
      </c>
      <c r="CM59" s="63" t="e">
        <f>IF(W58=0.8,VLOOKUP(CZ59,$AT$397:$AU$442,2),IF(W58=0.9,VLOOKUP(CZ59,$AT$350:$AU$396,2),VLOOKUP(CZ59,$AT$303:$AU$348,2)))</f>
        <v>#VALUE!</v>
      </c>
      <c r="CN59" s="649" t="e">
        <f>MAX(CJ59:CM59)</f>
        <v>#DIV/0!</v>
      </c>
      <c r="CO59" s="63" t="e">
        <f>ROUNDUP(CS59/$AW61/IF(W58=0,1,W58),1)</f>
        <v>#DIV/0!</v>
      </c>
      <c r="CP59" s="63" t="e">
        <f>ROUNDUP($CT59/($BD61*AT61),2)</f>
        <v>#VALUE!</v>
      </c>
      <c r="CQ59" s="63" t="e">
        <f>ROUNDUP(CU59/$AX61/IF(W58=0,1,W58),1)</f>
        <v>#DIV/0!</v>
      </c>
      <c r="CR59" s="63" t="e">
        <f>ROUNDUP($CV59/($BD61*AT61),2)</f>
        <v>#VALUE!</v>
      </c>
      <c r="CS59" s="63" t="e">
        <f>+CS58</f>
        <v>#DIV/0!</v>
      </c>
      <c r="CT59" s="3" t="e">
        <f>+CT58</f>
        <v>#VALUE!</v>
      </c>
      <c r="CU59" s="3" t="e">
        <f>+CU58</f>
        <v>#DIV/0!</v>
      </c>
      <c r="CV59" s="2" t="e">
        <f>+CV58</f>
        <v>#VALUE!</v>
      </c>
      <c r="CW59" s="548" t="e">
        <f>+CO59</f>
        <v>#DIV/0!</v>
      </c>
      <c r="CX59" s="548" t="e">
        <f>+CP59</f>
        <v>#VALUE!</v>
      </c>
      <c r="CY59" s="548" t="e">
        <f>CQ59</f>
        <v>#DIV/0!</v>
      </c>
      <c r="CZ59" s="548" t="e">
        <f>+CR59</f>
        <v>#VALUE!</v>
      </c>
      <c r="DC59" s="3" t="e">
        <f>5*DA58*POWER(N62,4)/(384*AT60)</f>
        <v>#VALUE!</v>
      </c>
      <c r="DD59" s="3" t="e">
        <f>5*DB58*POWER(N62,4)/(384*AT60)</f>
        <v>#VALUE!</v>
      </c>
      <c r="DE59" s="412" t="s">
        <v>1065</v>
      </c>
      <c r="DF59" s="349" t="s">
        <v>1066</v>
      </c>
      <c r="DG59" s="412" t="s">
        <v>1067</v>
      </c>
      <c r="DH59" s="412" t="s">
        <v>1065</v>
      </c>
      <c r="DI59" s="349" t="s">
        <v>1066</v>
      </c>
      <c r="DJ59" s="412" t="s">
        <v>1067</v>
      </c>
    </row>
    <row r="60" spans="2:117" x14ac:dyDescent="0.15">
      <c r="B60" s="1345"/>
      <c r="C60" s="1679" t="s">
        <v>980</v>
      </c>
      <c r="D60" s="1403" t="s">
        <v>961</v>
      </c>
      <c r="E60" s="1404"/>
      <c r="F60" s="1407" t="s">
        <v>964</v>
      </c>
      <c r="G60" s="1408"/>
      <c r="H60" s="1669" t="s">
        <v>1025</v>
      </c>
      <c r="I60" s="1679" t="s">
        <v>970</v>
      </c>
      <c r="J60" s="1277" t="s">
        <v>1060</v>
      </c>
      <c r="K60" s="1671"/>
      <c r="L60" s="1671"/>
      <c r="M60" s="1278"/>
      <c r="N60" s="194"/>
      <c r="O60" s="194"/>
      <c r="P60" s="194"/>
      <c r="Q60" s="1342"/>
      <c r="R60" s="1406"/>
      <c r="S60" s="877" t="s">
        <v>1265</v>
      </c>
      <c r="T60" s="877" t="s">
        <v>1266</v>
      </c>
      <c r="U60" s="877" t="s">
        <v>1267</v>
      </c>
      <c r="V60" s="877" t="s">
        <v>1260</v>
      </c>
      <c r="W60" s="877" t="s">
        <v>1268</v>
      </c>
      <c r="X60" s="440" t="s">
        <v>1151</v>
      </c>
      <c r="Y60" s="440" t="s">
        <v>1153</v>
      </c>
      <c r="Z60" s="194"/>
      <c r="AA60" s="194"/>
      <c r="AB60" s="194"/>
      <c r="AC60" s="194"/>
      <c r="AD60" s="194"/>
      <c r="AE60" s="194"/>
      <c r="AF60" s="194"/>
      <c r="AG60" s="194"/>
      <c r="AH60" s="194"/>
      <c r="AI60" s="194"/>
      <c r="AJ60" s="194"/>
      <c r="AK60" s="194"/>
      <c r="AL60" s="181"/>
      <c r="AM60" s="302"/>
      <c r="AQ60" s="3" t="s">
        <v>15</v>
      </c>
      <c r="AR60" s="3" t="e">
        <f>+VALUE(RIGHT(L57,4))</f>
        <v>#VALUE!</v>
      </c>
      <c r="AS60" s="615" t="s">
        <v>880</v>
      </c>
      <c r="AT60" s="642" t="e">
        <f>+VLOOKUP(VALUE(RIGHT(L57,4)),許容応力!$B$6:$K$22,10)*100</f>
        <v>#VALUE!</v>
      </c>
      <c r="AU60" s="615" t="s">
        <v>881</v>
      </c>
      <c r="AV60" s="520">
        <f>+BN59</f>
        <v>0</v>
      </c>
      <c r="AW60" s="3" t="s">
        <v>997</v>
      </c>
      <c r="AX60" s="3" t="s">
        <v>294</v>
      </c>
      <c r="AY60" s="52" t="s">
        <v>498</v>
      </c>
      <c r="AZ60" s="52" t="s">
        <v>499</v>
      </c>
      <c r="BA60" s="52" t="s">
        <v>500</v>
      </c>
      <c r="BB60" s="52" t="s">
        <v>501</v>
      </c>
      <c r="BC60" s="803" t="s">
        <v>295</v>
      </c>
      <c r="BD60" s="803" t="s">
        <v>296</v>
      </c>
      <c r="BE60" s="52" t="s">
        <v>287</v>
      </c>
      <c r="BF60" s="803" t="s">
        <v>288</v>
      </c>
      <c r="BG60" s="52" t="s">
        <v>490</v>
      </c>
      <c r="BH60" s="52" t="s">
        <v>289</v>
      </c>
      <c r="BI60" s="803" t="s">
        <v>290</v>
      </c>
      <c r="BJ60" s="52" t="s">
        <v>493</v>
      </c>
      <c r="BK60" s="803" t="s">
        <v>291</v>
      </c>
      <c r="BL60" s="803" t="s">
        <v>292</v>
      </c>
      <c r="BM60" s="412" t="s">
        <v>1020</v>
      </c>
      <c r="BN60" s="412" t="s">
        <v>1021</v>
      </c>
      <c r="BU60" s="3" t="s">
        <v>1002</v>
      </c>
      <c r="BV60" s="3">
        <f>IF(E63=0,0,+VALUE(RIGHT(E63,4)))</f>
        <v>0</v>
      </c>
      <c r="BX60" s="3" t="s">
        <v>1011</v>
      </c>
      <c r="BY60" s="3" t="e">
        <f>+BY58+BY59</f>
        <v>#N/A</v>
      </c>
      <c r="BZ60" s="3" t="e">
        <f>+BZ58+BZ59</f>
        <v>#N/A</v>
      </c>
      <c r="CA60" s="3" t="s">
        <v>1018</v>
      </c>
      <c r="CB60" s="3" t="e">
        <f>+BY60*AW57/2</f>
        <v>#N/A</v>
      </c>
      <c r="CC60" s="3" t="e">
        <f>5*BY60*POWER(AW57,4)/(384*AT60)</f>
        <v>#N/A</v>
      </c>
      <c r="CD60" s="803" t="s">
        <v>291</v>
      </c>
      <c r="CE60" s="3" t="e">
        <f>ROUND(M57/10*POWER(CE59,2)/6,0)</f>
        <v>#N/A</v>
      </c>
      <c r="CZ60" s="3" t="s">
        <v>1019</v>
      </c>
      <c r="DA60" s="3">
        <f>+DA58*POWER(M62*100,2)/8</f>
        <v>0</v>
      </c>
      <c r="DB60" s="3" t="e">
        <f>+DB58*POWER(M62*100,2)/8</f>
        <v>#VALUE!</v>
      </c>
      <c r="DE60" s="3" t="e">
        <f>ROUND(DE57/AW61,2)</f>
        <v>#N/A</v>
      </c>
      <c r="DF60" s="3" t="e">
        <f>ROUND(DF57/BD61,2)</f>
        <v>#N/A</v>
      </c>
      <c r="DG60" s="3" t="e">
        <f>ROUND(DG57/AY61,2)</f>
        <v>#N/A</v>
      </c>
      <c r="DH60" s="3" t="e">
        <f>ROUND(DH57/AX61,2)</f>
        <v>#N/A</v>
      </c>
      <c r="DI60" s="3" t="e">
        <f>ROUND(DF57/BD61,2)</f>
        <v>#N/A</v>
      </c>
      <c r="DJ60" s="3" t="e">
        <f>ROUND(DG57/AZ61,2)</f>
        <v>#N/A</v>
      </c>
    </row>
    <row r="61" spans="2:117" x14ac:dyDescent="0.15">
      <c r="B61" s="1345"/>
      <c r="C61" s="1409"/>
      <c r="D61" s="1405"/>
      <c r="E61" s="1406"/>
      <c r="F61" s="411" t="s">
        <v>971</v>
      </c>
      <c r="G61" s="591" t="s">
        <v>972</v>
      </c>
      <c r="H61" s="1254"/>
      <c r="I61" s="1409"/>
      <c r="J61" s="586" t="s">
        <v>965</v>
      </c>
      <c r="K61" s="586" t="s">
        <v>1022</v>
      </c>
      <c r="L61" s="586" t="s">
        <v>966</v>
      </c>
      <c r="M61" s="470" t="s">
        <v>1026</v>
      </c>
      <c r="N61" s="194"/>
      <c r="O61" s="194"/>
      <c r="P61" s="194"/>
      <c r="Q61" s="1382"/>
      <c r="R61" s="1406"/>
      <c r="S61" s="1029"/>
      <c r="T61" s="1029"/>
      <c r="U61" s="882">
        <f>+IF(T61=0,0,6)</f>
        <v>0</v>
      </c>
      <c r="V61" s="1029"/>
      <c r="W61" s="1029"/>
      <c r="X61" s="1018">
        <f>IF(W61=0,0,+N170)</f>
        <v>0</v>
      </c>
      <c r="Y61" s="574">
        <f>IF(W61=0,0,+VLOOKUP(X61,$I$189:$J$194,2))</f>
        <v>0</v>
      </c>
      <c r="Z61" s="194"/>
      <c r="AA61" s="194"/>
      <c r="AB61" s="194"/>
      <c r="AC61" s="194"/>
      <c r="AD61" s="194"/>
      <c r="AE61" s="194"/>
      <c r="AF61" s="194"/>
      <c r="AG61" s="194"/>
      <c r="AH61" s="194"/>
      <c r="AI61" s="194"/>
      <c r="AJ61" s="194"/>
      <c r="AK61" s="194"/>
      <c r="AL61" s="181"/>
      <c r="AM61" s="302"/>
      <c r="AQ61" s="638" t="s">
        <v>1055</v>
      </c>
      <c r="AR61" s="409">
        <f>+VALUE(RIGHT($G$52,3))</f>
        <v>2</v>
      </c>
      <c r="AS61" s="520" t="s">
        <v>241</v>
      </c>
      <c r="AT61" s="3">
        <f>+IF(OR(W58=0,W58=1),1,W58)</f>
        <v>1</v>
      </c>
      <c r="AW61" s="10" t="e">
        <f>IF(AR61=2,ROUND(VLOOKUP(AR60,許容応力!$B$6:$K$22,7)*1.1/3*100,0),ROUND(VLOOKUP(AR60,許容応力!$B$6:$K$22,7)*1.1/3*1.3*100,0))</f>
        <v>#VALUE!</v>
      </c>
      <c r="AX61" s="63" t="e">
        <f>ROUND(VLOOKUP(AR60,許容応力!$B$6:$K$22,7)*100*2/3*0.8,0)</f>
        <v>#VALUE!</v>
      </c>
      <c r="AY61" s="10" t="e">
        <f>IF(AR61=2,ROUND(VLOOKUP(AR60,許容応力!$B$6:$K$22,8)*1.1/3*100,0),ROUND(VLOOKUP(AR60,許容応力!$B$6:$K$22,8)*1.1/3*1.3*100,0))</f>
        <v>#VALUE!</v>
      </c>
      <c r="AZ61" s="63" t="e">
        <f>ROUND(VLOOKUP(AR60,許容応力!$B$6:$K$22,8)*100*2/3*0.8,0)</f>
        <v>#VALUE!</v>
      </c>
      <c r="BA61" s="10" t="e">
        <f>IF(AR61=2,ROUND(VLOOKUP(AR60,許容応力!$B$6:$K$22,9)*1.1/3*100,0),ROUND(VLOOKUP(AR60,許容応力!$B$6:$K$22,9)*1.1/3*1.3*100,0))</f>
        <v>#VALUE!</v>
      </c>
      <c r="BB61" s="63" t="e">
        <f>ROUND(VLOOKUP(AR60,許容応力!$B$6:$K$22,9)*100*2/3*0.8,0)</f>
        <v>#VALUE!</v>
      </c>
      <c r="BC61" s="63">
        <f>IF(AR61=2,400,200)</f>
        <v>400</v>
      </c>
      <c r="BD61" s="63">
        <f>ROUND(AW57/BC61,2)</f>
        <v>0</v>
      </c>
      <c r="BE61" s="3" t="e">
        <f>ROUND(($AY59+CB59+DA60)/$BK61,1)</f>
        <v>#DIV/0!</v>
      </c>
      <c r="BF61" s="3" t="e">
        <f>ROUND(($CT58)/$BL61,2)</f>
        <v>#VALUE!</v>
      </c>
      <c r="BG61" s="63" t="e">
        <f>ROUND((BC59+CB60+DA61)/AY61,1)</f>
        <v>#DIV/0!</v>
      </c>
      <c r="BH61" s="3" t="e">
        <f>ROUND(($BA59+CB59+DB60)/$BK61,1)</f>
        <v>#DIV/0!</v>
      </c>
      <c r="BI61" s="3" t="e">
        <f>ROUNDDOWN(($CV58)/$BL61,1)</f>
        <v>#VALUE!</v>
      </c>
      <c r="BJ61" s="63" t="e">
        <f>ROUND((BE59+CB60+DB61)/AZ61,1)</f>
        <v>#DIV/0!</v>
      </c>
      <c r="BK61" s="63">
        <f>ROUNDDOWN(M57/10*POWER(O57/10,2)/6*IF(OR(W57=0,W57=1),1,W57),0)</f>
        <v>0</v>
      </c>
      <c r="BL61" s="63">
        <f>ROUNDUP(M57/10*POWER(O57/10,3)/12*IF(OR(W57=0,W57=1),1,W57),0)</f>
        <v>0</v>
      </c>
      <c r="BM61" s="63" t="e">
        <f>ROUND(BC59/(BA61*AH57),1)</f>
        <v>#DIV/0!</v>
      </c>
      <c r="BN61" s="63" t="e">
        <f>ROUND(BE59/(BB61*AH57),1)</f>
        <v>#DIV/0!</v>
      </c>
      <c r="CD61" s="803" t="s">
        <v>292</v>
      </c>
      <c r="CE61" s="3" t="e">
        <f>ROUND(M57/10*POWER(CE59,3)/12,0)</f>
        <v>#N/A</v>
      </c>
      <c r="CZ61" s="3" t="s">
        <v>1018</v>
      </c>
      <c r="DA61" s="3">
        <f>+DA58*M62*100/2</f>
        <v>0</v>
      </c>
      <c r="DB61" s="3" t="e">
        <f>+DB58*M62*100/2</f>
        <v>#VALUE!</v>
      </c>
      <c r="DE61" s="3" t="e">
        <f t="shared" ref="DE61:DJ61" si="13">+DE60</f>
        <v>#N/A</v>
      </c>
      <c r="DF61" s="3" t="e">
        <f t="shared" si="13"/>
        <v>#N/A</v>
      </c>
      <c r="DG61" s="3" t="e">
        <f t="shared" si="13"/>
        <v>#N/A</v>
      </c>
      <c r="DH61" s="3" t="e">
        <f t="shared" si="13"/>
        <v>#N/A</v>
      </c>
      <c r="DI61" s="3" t="e">
        <f t="shared" si="13"/>
        <v>#N/A</v>
      </c>
      <c r="DJ61" s="3" t="e">
        <f t="shared" si="13"/>
        <v>#N/A</v>
      </c>
    </row>
    <row r="62" spans="2:117" x14ac:dyDescent="0.15">
      <c r="B62" s="1345"/>
      <c r="C62" s="1410"/>
      <c r="D62" s="1322"/>
      <c r="E62" s="1211"/>
      <c r="F62" s="1028"/>
      <c r="G62" s="1028"/>
      <c r="H62" s="440">
        <f>ROUND((F62+G62)/2,2)</f>
        <v>0</v>
      </c>
      <c r="I62" s="1410"/>
      <c r="J62" s="1028"/>
      <c r="K62" s="476"/>
      <c r="L62" s="1028"/>
      <c r="M62" s="471">
        <f>SUM(J62:L62)</f>
        <v>0</v>
      </c>
      <c r="N62" s="440">
        <f>+M62*100</f>
        <v>0</v>
      </c>
      <c r="O62" s="302"/>
      <c r="P62" s="302"/>
      <c r="Q62" s="302"/>
      <c r="R62" s="302"/>
      <c r="S62" s="302"/>
      <c r="T62" s="302"/>
      <c r="U62" s="302"/>
      <c r="V62" s="302"/>
      <c r="W62" s="302"/>
      <c r="X62" s="1024">
        <f>IF(W61=0,0,+N169)</f>
        <v>0</v>
      </c>
      <c r="Y62" s="302"/>
      <c r="Z62" s="302"/>
      <c r="AA62" s="302"/>
      <c r="AB62" s="302"/>
      <c r="AC62" s="302"/>
      <c r="AD62" s="302"/>
      <c r="AE62" s="302"/>
      <c r="AF62" s="302"/>
      <c r="AG62" s="302"/>
      <c r="AH62" s="302"/>
      <c r="AI62" s="302"/>
      <c r="AJ62" s="302"/>
      <c r="AK62" s="302"/>
      <c r="AL62" s="181"/>
      <c r="AM62" s="302"/>
      <c r="AW62" s="3" t="e">
        <f>+AW61</f>
        <v>#VALUE!</v>
      </c>
      <c r="AX62" s="3" t="e">
        <f t="shared" ref="AX62:BD62" si="14">+AX61</f>
        <v>#VALUE!</v>
      </c>
      <c r="AY62" s="3" t="e">
        <f t="shared" si="14"/>
        <v>#VALUE!</v>
      </c>
      <c r="AZ62" s="3" t="e">
        <f t="shared" si="14"/>
        <v>#VALUE!</v>
      </c>
      <c r="BA62" s="3" t="e">
        <f t="shared" si="14"/>
        <v>#VALUE!</v>
      </c>
      <c r="BB62" s="3" t="e">
        <f t="shared" si="14"/>
        <v>#VALUE!</v>
      </c>
      <c r="BC62" s="3">
        <f t="shared" si="14"/>
        <v>400</v>
      </c>
      <c r="BD62" s="3">
        <f t="shared" si="14"/>
        <v>0</v>
      </c>
      <c r="BE62" s="3" t="e">
        <f>ROUND((CB59+$AY59+DA60)/$BK62,1)</f>
        <v>#N/A</v>
      </c>
      <c r="BF62" s="3" t="e">
        <f>ROUND(($CT59)/$BL62,2)</f>
        <v>#VALUE!</v>
      </c>
      <c r="BG62" s="63" t="e">
        <f>ROUND((BC59+CB60+DA61)/AY61,1)</f>
        <v>#DIV/0!</v>
      </c>
      <c r="BH62" s="3" t="e">
        <f>ROUND(($BA59+CB59+DB60)/$BK62,1)</f>
        <v>#DIV/0!</v>
      </c>
      <c r="BI62" s="3" t="e">
        <f>ROUND(($CV59)/$BL62,2)</f>
        <v>#VALUE!</v>
      </c>
      <c r="BJ62" s="63" t="e">
        <f>ROUND((BE59+CB60+DB61)/AZ61,1)</f>
        <v>#DIV/0!</v>
      </c>
      <c r="BK62" s="63">
        <f>IF(O58&lt;180,ROUND((O58/10-3)*POWER(O58/10-3,2)/6*IF(EX58=0,1,W58),0),ROUND((O58/10-5)*POWER((O58/10-3),2)/6*IF(W58=0,1,W58),0))</f>
        <v>-5</v>
      </c>
      <c r="BL62" s="63">
        <f>ROUND(IF(O58&lt;180,(O58/10-3)*POWER((O58/10-3),3)/12*IF(W58=0,1,W58),(O58/10-5))*POWER((O58/10-3),3)/12*IF(W58=0,1,W58),0)</f>
        <v>-15</v>
      </c>
      <c r="BM62" s="63" t="e">
        <f>+BM61</f>
        <v>#DIV/0!</v>
      </c>
      <c r="BN62" s="63" t="e">
        <f>+BN61</f>
        <v>#DIV/0!</v>
      </c>
    </row>
    <row r="63" spans="2:117" ht="15" thickBot="1" x14ac:dyDescent="0.2">
      <c r="B63" s="1346"/>
      <c r="C63" s="1411" t="s">
        <v>1002</v>
      </c>
      <c r="D63" s="1412"/>
      <c r="E63" s="1150"/>
      <c r="F63" s="472" t="s">
        <v>1003</v>
      </c>
      <c r="G63" s="1136"/>
      <c r="H63" s="459" t="s">
        <v>1004</v>
      </c>
      <c r="I63" s="460"/>
      <c r="J63" s="466"/>
      <c r="K63" s="473"/>
      <c r="L63" s="473"/>
      <c r="M63" s="473"/>
      <c r="N63" s="473"/>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175"/>
      <c r="AM63" s="302"/>
    </row>
    <row r="64" spans="2:117" ht="15" thickBot="1" x14ac:dyDescent="0.2">
      <c r="B64" s="1587" t="s">
        <v>1075</v>
      </c>
      <c r="C64" s="1680"/>
      <c r="D64" s="1681"/>
      <c r="E64" s="417" t="s">
        <v>184</v>
      </c>
      <c r="F64" s="670"/>
      <c r="G64" s="1034" t="s">
        <v>1061</v>
      </c>
      <c r="H64" s="1034" t="s">
        <v>1063</v>
      </c>
      <c r="I64" s="1034" t="s">
        <v>965</v>
      </c>
      <c r="J64" s="1034" t="s">
        <v>966</v>
      </c>
      <c r="K64" s="1034"/>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181"/>
      <c r="AM64" s="302"/>
      <c r="CA64" s="3">
        <v>1</v>
      </c>
      <c r="CB64" s="3">
        <v>2</v>
      </c>
      <c r="CC64" s="3">
        <v>3</v>
      </c>
      <c r="CD64" s="3">
        <v>4</v>
      </c>
      <c r="CE64" s="3">
        <v>5</v>
      </c>
      <c r="CF64" s="3">
        <v>6</v>
      </c>
      <c r="DK64" s="3" t="s">
        <v>1223</v>
      </c>
      <c r="DL64" s="3" t="s">
        <v>1224</v>
      </c>
    </row>
    <row r="65" spans="2:117" ht="14.25" customHeight="1" x14ac:dyDescent="0.15">
      <c r="B65" s="1650"/>
      <c r="C65" s="1676"/>
      <c r="D65" s="449"/>
      <c r="E65" s="1677"/>
      <c r="F65" s="1678" t="str">
        <f>IF(E65=0,"",ROUND(SQRT(COS(AV65*1.5*PI()/180)),3))</f>
        <v/>
      </c>
      <c r="G65" s="474"/>
      <c r="H65" s="474"/>
      <c r="I65" s="802"/>
      <c r="J65" s="802"/>
      <c r="K65" s="1033"/>
      <c r="L65" s="1575"/>
      <c r="M65" s="1654"/>
      <c r="N65" s="1229">
        <f>+IF(M65=0,0,"×")</f>
        <v>0</v>
      </c>
      <c r="O65" s="1295">
        <f>IF(M65=0,0,CN66)</f>
        <v>0</v>
      </c>
      <c r="P65" s="1296" t="str">
        <f>IF(X65=+"","",IF(AND(X65&lt;=1,Y65&lt;=1,AA65&lt;=1,AB65&lt;=1),"OK!","NO!"))</f>
        <v/>
      </c>
      <c r="Q65" s="1296">
        <f>IF(U65=0,0,IF(AND(S65=0,W69=0),0,IF(IF(Z65&gt;=AC65,Z65,AC65)&lt;=1,"OK!","NO!")))</f>
        <v>0</v>
      </c>
      <c r="R65" s="1659"/>
      <c r="S65" s="1269"/>
      <c r="T65" s="1271">
        <f>IF(S65=0,0,BU65)</f>
        <v>0</v>
      </c>
      <c r="U65" s="1253">
        <f>IF(AND(T69=0,S65=0),0,+IF(AND(VALUE(RIGHT(R65,4))=2,T69&gt;0),0,IF(AND(VALUE(RIGHT(R65,4))=1,S65&gt;0),0,DM65)))</f>
        <v>0</v>
      </c>
      <c r="V65" s="1257">
        <f>IF(S65=0,0,IF(BG69&gt;=BJ69,BG69,BJ69))</f>
        <v>0</v>
      </c>
      <c r="W65" s="1652"/>
      <c r="X65" s="1257" t="str">
        <f>IF(O65=0,"",ROUNDUP($BE69/$AW69,2))</f>
        <v/>
      </c>
      <c r="Y65" s="1257" t="str">
        <f>IF(O65=0,"",ROUND($BF69/$BD69,2))</f>
        <v/>
      </c>
      <c r="Z65" s="1257">
        <f>IF(L65=0,0,IF(AND(S65=0,W69=0),0,IF(S65=0,ROUNDUP((BC67+CB68)/(AY69*$O$181*AR11*Y69/100),2),+BV65)))</f>
        <v>0</v>
      </c>
      <c r="AA65" s="1257" t="str">
        <f>IF(O65=0,"",ROUNDUP($BH69/$AX69,2))</f>
        <v/>
      </c>
      <c r="AB65" s="1257" t="str">
        <f>IF(O65=0,"",ROUNDUP($BI69/$BD69,2))</f>
        <v/>
      </c>
      <c r="AC65" s="1257">
        <f>IF(L65=0,0,IF(AND(S65=0,W69=0),0,IF(S65=0,ROUNDUP((BE67+CB68)/(AZ69*$O$181*AR11*Y69/100),2),+BW65)))</f>
        <v>0</v>
      </c>
      <c r="AD65" s="162"/>
      <c r="AE65" s="447"/>
      <c r="AF65" s="430"/>
      <c r="AG65" s="428"/>
      <c r="AH65" s="1253">
        <f>IF(AD65=0,0,ROUND(AD65*AE65+AF65*AG65+AD66*AE66+AF66*AG66,2))</f>
        <v>0</v>
      </c>
      <c r="AI65" s="1253">
        <f>IF(AD65=0,0,IF(AN65=1,AM65/(AR11*Y69),AM65))</f>
        <v>0</v>
      </c>
      <c r="AJ65" s="1255" t="str">
        <f>IF(AI65=0,"",IF(AI65&lt;=1,"OK!","NO!"))</f>
        <v/>
      </c>
      <c r="AK65" s="191">
        <f>+IF(J70=0,0,"1/")</f>
        <v>0</v>
      </c>
      <c r="AL65" s="192">
        <f>IF(J70=0,0,+BC69)</f>
        <v>0</v>
      </c>
      <c r="AM65" s="3" t="e">
        <f>+IF(BM69&gt;=BN69,BM69+DK66,BN69+DL66)</f>
        <v>#DIV/0!</v>
      </c>
      <c r="AN65" s="3">
        <f>IF(Q69=0,0,+VALUE(RIGHT(Q69,4)))</f>
        <v>0</v>
      </c>
      <c r="AQ65" s="479" t="s">
        <v>877</v>
      </c>
      <c r="AR65" s="632">
        <f>+準備!G57+AT65</f>
        <v>850</v>
      </c>
      <c r="AS65" s="632" t="e">
        <f>+準備!G57+AU65</f>
        <v>#VALUE!</v>
      </c>
      <c r="AT65" s="63">
        <f>ROUNDUP(IF(VALUE(RIGHT($G$52,3))=1,AU65*0.7,0),0)</f>
        <v>0</v>
      </c>
      <c r="AU65" s="63" t="e">
        <f>ROUNDUP(IF(VALUE(RIGHT($G$52,4))=1,$M$52*30*F65*100,$M$52*20*F65*100),0)</f>
        <v>#VALUE!</v>
      </c>
      <c r="AV65" s="69">
        <f>ROUND(ATAN(E65/10)*180/PI(),4)</f>
        <v>0</v>
      </c>
      <c r="AW65" s="3">
        <f>+N70</f>
        <v>0</v>
      </c>
      <c r="AX65" s="3" t="s">
        <v>1033</v>
      </c>
      <c r="AY65" s="3" t="e">
        <f>ROUND($AU66*$AU67/$AW65*$AR66,1)</f>
        <v>#DIV/0!</v>
      </c>
      <c r="AZ65" s="641">
        <f>+AU67</f>
        <v>0</v>
      </c>
      <c r="BA65" s="640">
        <f>+AW66</f>
        <v>0</v>
      </c>
      <c r="BB65" s="3" t="e">
        <f>ROUND($AY65*$BA65/$AZ65+$AY66,0)</f>
        <v>#DIV/0!</v>
      </c>
      <c r="BC65" s="3" t="s">
        <v>1035</v>
      </c>
      <c r="BD65" s="3" t="e">
        <f>ROUND($AU66*$AU67/$AW65*$AS66,1)</f>
        <v>#DIV/0!</v>
      </c>
      <c r="BE65" s="3" t="e">
        <f>ROUND($BD65*$BA65/$AZ65+$BD66,0)</f>
        <v>#DIV/0!</v>
      </c>
      <c r="BF65" s="3" t="s">
        <v>1039</v>
      </c>
      <c r="BG65" s="3" t="e">
        <f>ROUND($AU67/$AW65*$AR66,0)</f>
        <v>#DIV/0!</v>
      </c>
      <c r="BH65" s="3" t="e">
        <f>ROUND($AU66/$AW65*$AR66,0)</f>
        <v>#DIV/0!</v>
      </c>
      <c r="BI65" s="3" t="s">
        <v>1043</v>
      </c>
      <c r="BJ65" s="3" t="e">
        <f>ROUND($AU67/$AW65*$AS66,0)</f>
        <v>#DIV/0!</v>
      </c>
      <c r="BK65" s="3" t="e">
        <f>ROUND($AU66/$AW65*$AS66,0)</f>
        <v>#DIV/0!</v>
      </c>
      <c r="BL65" s="3" t="s">
        <v>1057</v>
      </c>
      <c r="BM65" s="3">
        <f>ROUND(POWER($AW65,2)-POWER($AU67,2),0)</f>
        <v>0</v>
      </c>
      <c r="BN65" s="3">
        <f>ROUND(POWER($AW65,2)-POWER($AW67,2),0)</f>
        <v>0</v>
      </c>
      <c r="BO65" s="3">
        <f>+SQRT(POWER(BM65,3))</f>
        <v>0</v>
      </c>
      <c r="BP65" s="3">
        <f>+SQRT(POWER(BN65,3))</f>
        <v>0</v>
      </c>
      <c r="BQ65" s="63" t="e">
        <f>ROUNDUP($AR66*$AU67*$BO65/(9*SQRT(3)*$AT68*$AW65),2)</f>
        <v>#VALUE!</v>
      </c>
      <c r="BR65" s="63" t="e">
        <f>ROUNDUP($AR67*$AW67*$BP65/(9*SQRT(3)*$AT68*$AW65),2)</f>
        <v>#VALUE!</v>
      </c>
      <c r="BS65" s="63" t="e">
        <f>ROUNDUP($AS66*$AU67*$BO65/(9*SQRT(3)*$AT68*$AW65),2)</f>
        <v>#VALUE!</v>
      </c>
      <c r="BT65" s="63" t="e">
        <f>ROUNDUP($AS67*$AW67*$BP65/(9*SQRT(3)*$AT68*$AW65),2)</f>
        <v>#VALUE!</v>
      </c>
      <c r="BU65" s="9">
        <f>IF(O65=0,0,ROUNDUP(SQRT((V65*M65/10*O65/10)/(S65*S65)),2))</f>
        <v>0</v>
      </c>
      <c r="BV65" s="3" t="e">
        <f>ROUND((+BC67+CB68+DA69)/(AY69*U65),2)</f>
        <v>#DIV/0!</v>
      </c>
      <c r="BW65" s="3" t="e">
        <f>ROUND((+BE67+CB68+DB69)/(AZ69*U65),2)</f>
        <v>#DIV/0!</v>
      </c>
      <c r="BX65" s="393"/>
      <c r="BY65" s="803" t="s">
        <v>269</v>
      </c>
      <c r="BZ65" s="803" t="s">
        <v>269</v>
      </c>
      <c r="CA65" s="632">
        <f>+準備!$G$20/100</f>
        <v>4.5</v>
      </c>
      <c r="CB65" s="632">
        <f>+準備!$G$24/100</f>
        <v>11</v>
      </c>
      <c r="CC65" s="632">
        <f>+準備!$G$28/100</f>
        <v>14</v>
      </c>
      <c r="CD65" s="632">
        <f>+準備!$G$32/100</f>
        <v>17.5</v>
      </c>
      <c r="CE65" s="632">
        <f>+準備!$G$36/100</f>
        <v>17.5</v>
      </c>
      <c r="CF65" s="632">
        <f>+準備!$G$38/100</f>
        <v>4</v>
      </c>
      <c r="CN65" s="3" t="s">
        <v>998</v>
      </c>
      <c r="CO65" s="3" t="s">
        <v>995</v>
      </c>
      <c r="CP65" s="3" t="s">
        <v>189</v>
      </c>
      <c r="CQ65" s="3" t="s">
        <v>996</v>
      </c>
      <c r="CR65" s="3" t="s">
        <v>189</v>
      </c>
      <c r="CS65" s="3" t="s">
        <v>1059</v>
      </c>
      <c r="CT65" s="3" t="s">
        <v>189</v>
      </c>
      <c r="CU65" s="3" t="s">
        <v>996</v>
      </c>
      <c r="CV65" s="2" t="s">
        <v>189</v>
      </c>
      <c r="CW65" s="548" t="s">
        <v>995</v>
      </c>
      <c r="CX65" s="548" t="s">
        <v>189</v>
      </c>
      <c r="CY65" s="548" t="s">
        <v>996</v>
      </c>
      <c r="CZ65" s="548" t="s">
        <v>189</v>
      </c>
      <c r="DA65" s="803" t="s">
        <v>269</v>
      </c>
      <c r="DB65" s="803" t="s">
        <v>269</v>
      </c>
      <c r="DC65" s="3" t="s">
        <v>189</v>
      </c>
      <c r="DE65" s="3" t="e">
        <f>ROUND(($CB67+DA68)/$CE68,1)</f>
        <v>#N/A</v>
      </c>
      <c r="DF65" s="3" t="e">
        <f>ROUND(($CC68+DC67)/$CE69,2)</f>
        <v>#N/A</v>
      </c>
      <c r="DG65" s="3" t="e">
        <f>ROUND(($CB68+$DA69)/$U65,1)</f>
        <v>#N/A</v>
      </c>
      <c r="DH65" s="3" t="e">
        <f>ROUND(($CB67+DB68)/$CE68,1)</f>
        <v>#N/A</v>
      </c>
      <c r="DI65" s="3" t="e">
        <f>ROUND(($CC68+DD67)/$CE69,2)</f>
        <v>#N/A</v>
      </c>
      <c r="DJ65" s="3" t="e">
        <f>ROUND(($CB68+DB69)/$U65,1)</f>
        <v>#N/A</v>
      </c>
      <c r="DK65" s="3" t="e">
        <f>ROUND(VLOOKUP(VALUE(RIGHT($L65,4)),許容応力!$B$6:$K$22,9)*1.1/3*100,0)</f>
        <v>#VALUE!</v>
      </c>
      <c r="DL65" s="3" t="e">
        <f>ROUND(VLOOKUP(VALUE(RIGHT($L65,4)),許容応力!$B$6:$K$22,9)*2/3*0.8*100,0)</f>
        <v>#VALUE!</v>
      </c>
      <c r="DM65" s="1253">
        <f>IF(AND(S65=0,W69=0),0,IF(T65=0,O$181*AR11*Y69/100,ROUND(POWER(S65*T65,2)/(M65/10*O65/10),2)))</f>
        <v>0</v>
      </c>
    </row>
    <row r="66" spans="2:117" x14ac:dyDescent="0.15">
      <c r="B66" s="1650"/>
      <c r="C66" s="1676"/>
      <c r="D66" s="439"/>
      <c r="E66" s="1677"/>
      <c r="F66" s="1555"/>
      <c r="G66" s="1034" t="s">
        <v>1064</v>
      </c>
      <c r="H66" s="1034" t="s">
        <v>1062</v>
      </c>
      <c r="I66" s="1033"/>
      <c r="J66" s="1034" t="s">
        <v>966</v>
      </c>
      <c r="K66" s="1034" t="s">
        <v>965</v>
      </c>
      <c r="L66" s="1478"/>
      <c r="M66" s="1653"/>
      <c r="N66" s="1285"/>
      <c r="O66" s="1258"/>
      <c r="P66" s="1258"/>
      <c r="Q66" s="1297"/>
      <c r="R66" s="1660"/>
      <c r="S66" s="1270"/>
      <c r="T66" s="1254"/>
      <c r="U66" s="1272"/>
      <c r="V66" s="1254"/>
      <c r="W66" s="1653"/>
      <c r="X66" s="1258"/>
      <c r="Y66" s="1258"/>
      <c r="Z66" s="1254"/>
      <c r="AA66" s="1258"/>
      <c r="AB66" s="1258"/>
      <c r="AC66" s="1254"/>
      <c r="AD66" s="160"/>
      <c r="AE66" s="432"/>
      <c r="AF66" s="433"/>
      <c r="AG66" s="434"/>
      <c r="AH66" s="1254"/>
      <c r="AI66" s="1254"/>
      <c r="AJ66" s="1673"/>
      <c r="AK66" s="184">
        <f>+IF(G70=0,0,"1/")</f>
        <v>0</v>
      </c>
      <c r="AL66" s="185">
        <f>IF(J70=0,0,+BC70)</f>
        <v>0</v>
      </c>
      <c r="AM66" s="597"/>
      <c r="AN66" s="407"/>
      <c r="AQ66" s="638" t="s">
        <v>1023</v>
      </c>
      <c r="AR66" s="3">
        <f>ROUND(AR65*(G65+H65)/2*(I65+J65)/2,0)</f>
        <v>0</v>
      </c>
      <c r="AS66" s="3" t="e">
        <f>ROUND(AS65*(G65+H65)/2*(I65+J65)/2,0)</f>
        <v>#VALUE!</v>
      </c>
      <c r="AT66" s="3" t="s">
        <v>1029</v>
      </c>
      <c r="AU66" s="640">
        <f>+J70*100</f>
        <v>0</v>
      </c>
      <c r="AV66" s="3" t="s">
        <v>1031</v>
      </c>
      <c r="AW66" s="640">
        <f>+L70*100</f>
        <v>0</v>
      </c>
      <c r="AX66" s="3" t="s">
        <v>1034</v>
      </c>
      <c r="AY66" s="3" t="e">
        <f>ROUND($AW66*$AW67/$AW65*$AR67,1)</f>
        <v>#DIV/0!</v>
      </c>
      <c r="AZ66" s="641">
        <f>+AW67</f>
        <v>0</v>
      </c>
      <c r="BA66" s="640">
        <f>+AU66</f>
        <v>0</v>
      </c>
      <c r="BB66" s="3" t="e">
        <f>ROUND($AY66*$BA66/$AZ66+$AY65,0)</f>
        <v>#DIV/0!</v>
      </c>
      <c r="BC66" s="3" t="s">
        <v>1036</v>
      </c>
      <c r="BD66" s="3" t="e">
        <f>ROUND($AW66*$AW67/$AW65*$AS67,1)</f>
        <v>#DIV/0!</v>
      </c>
      <c r="BE66" s="3" t="e">
        <f>ROUND($BD66*$BA66/$AZ66+$BD65,0)</f>
        <v>#DIV/0!</v>
      </c>
      <c r="BF66" s="3" t="s">
        <v>1040</v>
      </c>
      <c r="BG66" s="3" t="e">
        <f>ROUND($AW66/$AW65*$AR67,0)</f>
        <v>#DIV/0!</v>
      </c>
      <c r="BH66" s="3" t="e">
        <f>ROUND($AW67/$AW65*$AR67,0)</f>
        <v>#DIV/0!</v>
      </c>
      <c r="BI66" s="3" t="s">
        <v>1044</v>
      </c>
      <c r="BJ66" s="3" t="e">
        <f>ROUND($AW66/$AW65*$AS67,0)</f>
        <v>#DIV/0!</v>
      </c>
      <c r="BK66" s="3" t="e">
        <f>ROUND($AW67/$AW65*$AS67,0)</f>
        <v>#DIV/0!</v>
      </c>
      <c r="BM66" s="3">
        <f>ROUND(POWER($AW65,2)-POWER($AW66,2),0)</f>
        <v>0</v>
      </c>
      <c r="BN66" s="3">
        <f>ROUND(POWER($AW65,2)-POWER($AW67,2),0)</f>
        <v>0</v>
      </c>
      <c r="BO66" s="3">
        <f>+SQRT(POWER(BM66,3))</f>
        <v>0</v>
      </c>
      <c r="BP66" s="3">
        <f>+SQRT(POWER(BN66,3))</f>
        <v>0</v>
      </c>
      <c r="BQ66" s="63" t="e">
        <f>ROUNDUP($BR65*$AU66/$AW67,2)</f>
        <v>#VALUE!</v>
      </c>
      <c r="BR66" s="63" t="e">
        <f>ROUNDUP($BQ65*$AW66/$AU67,2)</f>
        <v>#VALUE!</v>
      </c>
      <c r="BS66" s="63" t="e">
        <f>ROUNDUP($BT65*$AU66/$AW67,2)</f>
        <v>#VALUE!</v>
      </c>
      <c r="BT66" s="63" t="e">
        <f>ROUNDUP($BS65*$AW66/$AU67,2)</f>
        <v>#VALUE!</v>
      </c>
      <c r="BU66" s="9">
        <f>IF(O66=0,0,ROUNDUP(SQRT(IF(R66=0,(V66*(O66/10-6)*(O66/10-3)),(V66*(R66/10-6)*(R66/10-3)))/(S66*S66)),2))</f>
        <v>0</v>
      </c>
      <c r="BV66" s="3" t="e">
        <f>ROUND((+BC67+CB68+DA69)/(AY70*S66*T66),2)</f>
        <v>#DIV/0!</v>
      </c>
      <c r="BW66" s="3" t="e">
        <f>ROUND((+BE67+CB68+DB69)/(AZ70*S66*T66),2)</f>
        <v>#DIV/0!</v>
      </c>
      <c r="BX66" s="78"/>
      <c r="BY66" s="87" t="e">
        <f>IF(OR(BV67=0,BV67=1),0,ROUNDUP((準備!$G$60/100+準備!$D$48/100)*((F70+G70)/2*100)/200,2))</f>
        <v>#N/A</v>
      </c>
      <c r="BZ66" s="87" t="e">
        <f>+BY66</f>
        <v>#N/A</v>
      </c>
      <c r="CA66" s="3">
        <f t="shared" ref="CA66:CF66" si="15">ROUND(CA65*$I71,2)</f>
        <v>0</v>
      </c>
      <c r="CB66" s="3">
        <f t="shared" si="15"/>
        <v>0</v>
      </c>
      <c r="CC66" s="3">
        <f t="shared" si="15"/>
        <v>0</v>
      </c>
      <c r="CD66" s="3">
        <f t="shared" si="15"/>
        <v>0</v>
      </c>
      <c r="CE66" s="3">
        <f t="shared" si="15"/>
        <v>0</v>
      </c>
      <c r="CF66" s="3">
        <f t="shared" si="15"/>
        <v>0</v>
      </c>
      <c r="CJ66" s="63" t="e">
        <f>+ROUNDUP(CO66/3,-1)*3</f>
        <v>#DIV/0!</v>
      </c>
      <c r="CK66" s="63" t="e">
        <f>+ROUNDUP(CP66/3,-1)*3</f>
        <v>#VALUE!</v>
      </c>
      <c r="CL66" s="63" t="e">
        <f>+ROUNDUP(CQ66/3,-1)*3</f>
        <v>#DIV/0!</v>
      </c>
      <c r="CM66" s="63" t="e">
        <f>+ROUNDUP(CR66/3,-1)*3</f>
        <v>#VALUE!</v>
      </c>
      <c r="CN66" s="649" t="e">
        <f>MAX(CJ66:CM66)</f>
        <v>#DIV/0!</v>
      </c>
      <c r="CO66" s="63" t="e">
        <f>ROUNDUP(SQRT(ROUND($CS66/$AW69*6/($M65/10)/IF($W65=0,1,$W65),1))*10,0)</f>
        <v>#DIV/0!</v>
      </c>
      <c r="CP66" s="3" t="e">
        <f>POWER(ROUNDDOWN($CT66/($M65/10)*12,0)/IF($W65=0,1,$W65)/$BD69,1/3)*10</f>
        <v>#VALUE!</v>
      </c>
      <c r="CQ66" s="63" t="e">
        <f>ROUNDUP(SQRT(ROUND($CU66/$AX69*6/($M65/10)/IF($W65=0,1,$W65),1))*10,0)</f>
        <v>#DIV/0!</v>
      </c>
      <c r="CR66" s="3" t="e">
        <f>POWER(ROUNDDOWN($CV66/($M65/10)*12,0)/IF($W65=0,1,$W65)/$BD69,1/3)*10</f>
        <v>#VALUE!</v>
      </c>
      <c r="CS66" s="63" t="e">
        <f>+AY67+CB67+DA68</f>
        <v>#DIV/0!</v>
      </c>
      <c r="CT66" s="63" t="e">
        <f>+IF(BQ67&gt;=BR67,BQ67+CC68+DC67,BR67+CC68+DC67)</f>
        <v>#VALUE!</v>
      </c>
      <c r="CU66" s="63" t="e">
        <f>+BA67+CB67+DB68</f>
        <v>#DIV/0!</v>
      </c>
      <c r="CV66" s="78" t="e">
        <f>+IF(BS67&gt;=BT67,BS67+CC68+DD67,BT67+CC68+DD67)</f>
        <v>#VALUE!</v>
      </c>
      <c r="CW66" s="548" t="e">
        <f>+CO66</f>
        <v>#DIV/0!</v>
      </c>
      <c r="CX66" s="548" t="e">
        <f>+CP66</f>
        <v>#VALUE!</v>
      </c>
      <c r="CY66" s="548" t="e">
        <f>CQ66</f>
        <v>#DIV/0!</v>
      </c>
      <c r="CZ66" s="548" t="e">
        <f>+CR66</f>
        <v>#VALUE!</v>
      </c>
      <c r="DA66" s="87">
        <f>IF(OR($BV67=0,$BV67=1),0,ROUND((準備!$G$6+$AT65)*$G70/200,2))</f>
        <v>0</v>
      </c>
      <c r="DB66" s="87" t="e">
        <f>IF(OR($BV67=0,$BV67=1),0,ROUND((準備!$G$6+$AU65)*$G70/200,2))</f>
        <v>#VALUE!</v>
      </c>
      <c r="DC66" s="3" t="s">
        <v>168</v>
      </c>
      <c r="DD66" s="3" t="s">
        <v>203</v>
      </c>
      <c r="DE66" s="3" t="e">
        <f t="shared" ref="DE66:DJ66" si="16">+DE65</f>
        <v>#N/A</v>
      </c>
      <c r="DF66" s="3" t="e">
        <f t="shared" si="16"/>
        <v>#N/A</v>
      </c>
      <c r="DG66" s="3" t="e">
        <f t="shared" si="16"/>
        <v>#N/A</v>
      </c>
      <c r="DH66" s="3" t="e">
        <f t="shared" si="16"/>
        <v>#N/A</v>
      </c>
      <c r="DI66" s="3" t="e">
        <f t="shared" si="16"/>
        <v>#N/A</v>
      </c>
      <c r="DJ66" s="3" t="e">
        <f t="shared" si="16"/>
        <v>#N/A</v>
      </c>
      <c r="DK66" s="3" t="e">
        <f>ROUND(DA66*M70*100/2/DK65/AH65,2)</f>
        <v>#VALUE!</v>
      </c>
      <c r="DL66" s="3" t="e">
        <f>ROUND(DB66*M70*100/2/DL65/AH65,2)</f>
        <v>#VALUE!</v>
      </c>
      <c r="DM66" s="1254"/>
    </row>
    <row r="67" spans="2:117" x14ac:dyDescent="0.15">
      <c r="B67" s="1650"/>
      <c r="C67" s="1270"/>
      <c r="D67" s="194"/>
      <c r="E67" s="1270"/>
      <c r="F67" s="1254"/>
      <c r="G67" s="1035">
        <f>+H65</f>
        <v>0</v>
      </c>
      <c r="H67" s="475"/>
      <c r="I67" s="1033"/>
      <c r="J67" s="1033">
        <f>+J65</f>
        <v>0</v>
      </c>
      <c r="K67" s="1033">
        <f>+I65</f>
        <v>0</v>
      </c>
      <c r="L67" s="194"/>
      <c r="M67" s="176"/>
      <c r="N67" s="176"/>
      <c r="O67" s="176"/>
      <c r="P67" s="176"/>
      <c r="Q67" s="451"/>
      <c r="R67" s="878"/>
      <c r="S67" s="1307" t="s">
        <v>1154</v>
      </c>
      <c r="T67" s="1308"/>
      <c r="U67" s="1308"/>
      <c r="V67" s="1308"/>
      <c r="W67" s="1308"/>
      <c r="X67" s="1308"/>
      <c r="Y67" s="1621"/>
      <c r="Z67" s="176"/>
      <c r="AA67" s="176"/>
      <c r="AB67" s="176"/>
      <c r="AC67" s="176"/>
      <c r="AD67" s="176"/>
      <c r="AE67" s="176"/>
      <c r="AF67" s="176"/>
      <c r="AG67" s="176"/>
      <c r="AH67" s="176"/>
      <c r="AI67" s="176"/>
      <c r="AJ67" s="176"/>
      <c r="AK67" s="176"/>
      <c r="AL67" s="469"/>
      <c r="AM67" s="302"/>
      <c r="AQ67" s="638" t="s">
        <v>1024</v>
      </c>
      <c r="AR67" s="3">
        <f>ROUND(AR65*(G67+H67)/2*(K67+J67)/2,0)</f>
        <v>0</v>
      </c>
      <c r="AS67" s="3" t="e">
        <f>ROUND(AS65*(G67+H67)/2*(K67+J67)/2,0)</f>
        <v>#VALUE!</v>
      </c>
      <c r="AT67" s="3" t="s">
        <v>1030</v>
      </c>
      <c r="AU67" s="641">
        <f>(+K70+L70)*100</f>
        <v>0</v>
      </c>
      <c r="AV67" s="3" t="s">
        <v>1032</v>
      </c>
      <c r="AW67" s="641">
        <f>(+J70+K70)*100</f>
        <v>0</v>
      </c>
      <c r="AX67" s="3" t="s">
        <v>1037</v>
      </c>
      <c r="AY67" s="548" t="e">
        <f>+IF(BB65&gt;=BB66,BB65,BB66)</f>
        <v>#DIV/0!</v>
      </c>
      <c r="AZ67" s="3" t="s">
        <v>1038</v>
      </c>
      <c r="BA67" s="548" t="e">
        <f>+IF(BE65&gt;=BE66,BE65,BE66)</f>
        <v>#DIV/0!</v>
      </c>
      <c r="BB67" s="3" t="s">
        <v>1041</v>
      </c>
      <c r="BC67" s="548" t="e">
        <f>+IF(BG67&gt;=BH67,BG67,BH67)</f>
        <v>#DIV/0!</v>
      </c>
      <c r="BD67" s="3" t="s">
        <v>1042</v>
      </c>
      <c r="BE67" s="548" t="e">
        <f>+IF(BJ67&gt;=BK67,BJ67,BK67)</f>
        <v>#DIV/0!</v>
      </c>
      <c r="BG67" s="3" t="e">
        <f>SUM(BG65:BG66)</f>
        <v>#DIV/0!</v>
      </c>
      <c r="BH67" s="3" t="e">
        <f>SUM(BH65:BH66)</f>
        <v>#DIV/0!</v>
      </c>
      <c r="BJ67" s="3" t="e">
        <f>SUM(BJ65:BJ66)</f>
        <v>#DIV/0!</v>
      </c>
      <c r="BK67" s="3" t="e">
        <f>SUM(BK65:BK66)</f>
        <v>#DIV/0!</v>
      </c>
      <c r="BM67" s="3">
        <f t="shared" ref="BM67:BT67" si="17">SUM(BM65:BM66)</f>
        <v>0</v>
      </c>
      <c r="BN67" s="3">
        <f t="shared" si="17"/>
        <v>0</v>
      </c>
      <c r="BO67" s="3">
        <f t="shared" si="17"/>
        <v>0</v>
      </c>
      <c r="BP67" s="3">
        <f t="shared" si="17"/>
        <v>0</v>
      </c>
      <c r="BQ67" s="3" t="e">
        <f t="shared" si="17"/>
        <v>#VALUE!</v>
      </c>
      <c r="BR67" s="3" t="e">
        <f t="shared" si="17"/>
        <v>#VALUE!</v>
      </c>
      <c r="BS67" s="3" t="e">
        <f t="shared" si="17"/>
        <v>#VALUE!</v>
      </c>
      <c r="BT67" s="3" t="e">
        <f t="shared" si="17"/>
        <v>#VALUE!</v>
      </c>
      <c r="BU67" s="3" t="s">
        <v>1012</v>
      </c>
      <c r="BV67" s="3">
        <f>IF(D68=0,0,+VALUE(RIGHT(D68,4)))</f>
        <v>2</v>
      </c>
      <c r="BW67" s="3" t="s">
        <v>1003</v>
      </c>
      <c r="BX67" s="3" t="e">
        <f>+VALUE(RIGHT(G71,4))</f>
        <v>#VALUE!</v>
      </c>
      <c r="BY67" s="3">
        <f>IF(OR(BV68=0,BV68=2),0,HLOOKUP(BX67,CA64:CF66,3))</f>
        <v>0</v>
      </c>
      <c r="BZ67" s="3">
        <f>+BY67</f>
        <v>0</v>
      </c>
      <c r="CA67" s="3" t="s">
        <v>1019</v>
      </c>
      <c r="CB67" s="3" t="e">
        <f>BY68*POWER(AW65,2)/8</f>
        <v>#N/A</v>
      </c>
      <c r="CC67" s="3" t="s">
        <v>189</v>
      </c>
      <c r="CD67" s="3" t="s">
        <v>782</v>
      </c>
      <c r="CE67" s="3" t="e">
        <f>ROUNDUP(+SQRT((CB67+DA68)*6/(AW69*M65/10)),0)</f>
        <v>#N/A</v>
      </c>
      <c r="CJ67" s="63" t="e">
        <f>IF(W66=0.8,VLOOKUP(CW67,$AR$397:$AS$442,2),IF(W66=0.9,VLOOKUP(CW67,$AR$350:$AS$395,2),VLOOKUP(CW67,$AR$303:$AS$348,2)))</f>
        <v>#DIV/0!</v>
      </c>
      <c r="CK67" s="63" t="e">
        <f>IF(W66=0.8,VLOOKUP(CX67,$AT$397:$AU$442,2),IF(W66=0.9,VLOOKUP(CX67,$AT$350:$AU$395,2),VLOOKUP(CX67,$AT$303:$AU$348,2)))</f>
        <v>#VALUE!</v>
      </c>
      <c r="CL67" s="63" t="e">
        <f>IF(W66=0.8,VLOOKUP(CY67,$AR$397:$AS$442,2),IF(W66=0.9,VLOOKUP(CY67,$AR$350:$AS$395,2),VLOOKUP(CY67,$AR$303:$AS$348,2)))</f>
        <v>#DIV/0!</v>
      </c>
      <c r="CM67" s="63" t="e">
        <f>IF(W66=0.8,VLOOKUP(CZ67,$AT$397:$AU$442,2),IF(W66=0.9,VLOOKUP(CZ67,$AT$350:$AU$396,2),VLOOKUP(CZ67,$AT$303:$AU$348,2)))</f>
        <v>#VALUE!</v>
      </c>
      <c r="CN67" s="649" t="e">
        <f>MAX(CJ67:CM67)</f>
        <v>#DIV/0!</v>
      </c>
      <c r="CO67" s="63" t="e">
        <f>ROUNDUP(CS67/$AW69/IF(W66=0,1,W66),1)</f>
        <v>#DIV/0!</v>
      </c>
      <c r="CP67" s="63" t="e">
        <f>ROUNDUP($CT67/($BD69*AT69),2)</f>
        <v>#VALUE!</v>
      </c>
      <c r="CQ67" s="63" t="e">
        <f>ROUNDUP(CU67/$AX69/IF(W66=0,1,W66),1)</f>
        <v>#DIV/0!</v>
      </c>
      <c r="CR67" s="63" t="e">
        <f>ROUNDUP($CV67/($BD69*AT69),2)</f>
        <v>#VALUE!</v>
      </c>
      <c r="CS67" s="63" t="e">
        <f>+CS66</f>
        <v>#DIV/0!</v>
      </c>
      <c r="CT67" s="3" t="e">
        <f>+CT66</f>
        <v>#VALUE!</v>
      </c>
      <c r="CU67" s="3" t="e">
        <f>+CU66</f>
        <v>#DIV/0!</v>
      </c>
      <c r="CV67" s="2" t="e">
        <f>+CV66</f>
        <v>#VALUE!</v>
      </c>
      <c r="CW67" s="548" t="e">
        <f>+CO67</f>
        <v>#DIV/0!</v>
      </c>
      <c r="CX67" s="548" t="e">
        <f>+CP67</f>
        <v>#VALUE!</v>
      </c>
      <c r="CY67" s="548" t="e">
        <f>CQ67</f>
        <v>#DIV/0!</v>
      </c>
      <c r="CZ67" s="548" t="e">
        <f>+CR67</f>
        <v>#VALUE!</v>
      </c>
      <c r="DC67" s="3" t="e">
        <f>5*DA66*POWER(N70,4)/(384*AT68)</f>
        <v>#VALUE!</v>
      </c>
      <c r="DD67" s="3" t="e">
        <f>5*DB66*POWER(N70,4)/(384*AT68)</f>
        <v>#VALUE!</v>
      </c>
      <c r="DE67" s="412" t="s">
        <v>1065</v>
      </c>
      <c r="DF67" s="349" t="s">
        <v>1066</v>
      </c>
      <c r="DG67" s="412" t="s">
        <v>1067</v>
      </c>
      <c r="DH67" s="412" t="s">
        <v>1065</v>
      </c>
      <c r="DI67" s="349" t="s">
        <v>1066</v>
      </c>
      <c r="DJ67" s="412" t="s">
        <v>1067</v>
      </c>
    </row>
    <row r="68" spans="2:117" x14ac:dyDescent="0.15">
      <c r="B68" s="1650"/>
      <c r="C68" s="1679" t="s">
        <v>980</v>
      </c>
      <c r="D68" s="1403" t="s">
        <v>961</v>
      </c>
      <c r="E68" s="1404"/>
      <c r="F68" s="1407" t="s">
        <v>964</v>
      </c>
      <c r="G68" s="1408"/>
      <c r="H68" s="1669" t="s">
        <v>1025</v>
      </c>
      <c r="I68" s="1679" t="s">
        <v>970</v>
      </c>
      <c r="J68" s="1277" t="s">
        <v>1060</v>
      </c>
      <c r="K68" s="1671"/>
      <c r="L68" s="1671"/>
      <c r="M68" s="1278"/>
      <c r="N68" s="194"/>
      <c r="O68" s="194"/>
      <c r="P68" s="194"/>
      <c r="Q68" s="1342"/>
      <c r="R68" s="1406"/>
      <c r="S68" s="877" t="s">
        <v>1265</v>
      </c>
      <c r="T68" s="877" t="s">
        <v>1266</v>
      </c>
      <c r="U68" s="877" t="s">
        <v>1267</v>
      </c>
      <c r="V68" s="877" t="s">
        <v>1260</v>
      </c>
      <c r="W68" s="877" t="s">
        <v>1268</v>
      </c>
      <c r="X68" s="440" t="s">
        <v>1151</v>
      </c>
      <c r="Y68" s="440" t="s">
        <v>1153</v>
      </c>
      <c r="Z68" s="194"/>
      <c r="AA68" s="194"/>
      <c r="AB68" s="194"/>
      <c r="AC68" s="194"/>
      <c r="AD68" s="194"/>
      <c r="AE68" s="194"/>
      <c r="AF68" s="194"/>
      <c r="AG68" s="194"/>
      <c r="AH68" s="194"/>
      <c r="AI68" s="194"/>
      <c r="AJ68" s="194"/>
      <c r="AK68" s="194"/>
      <c r="AL68" s="181"/>
      <c r="AM68" s="302"/>
      <c r="AQ68" s="3" t="s">
        <v>15</v>
      </c>
      <c r="AR68" s="3" t="e">
        <f>+VALUE(RIGHT(L65,4))</f>
        <v>#VALUE!</v>
      </c>
      <c r="AS68" s="615" t="s">
        <v>880</v>
      </c>
      <c r="AT68" s="642" t="e">
        <f>+VLOOKUP(VALUE(RIGHT(L65,4)),許容応力!$B$6:$K$22,10)*100</f>
        <v>#VALUE!</v>
      </c>
      <c r="AU68" s="615" t="s">
        <v>881</v>
      </c>
      <c r="AV68" s="520">
        <f>+BN67</f>
        <v>0</v>
      </c>
      <c r="AW68" s="3" t="s">
        <v>997</v>
      </c>
      <c r="AX68" s="3" t="s">
        <v>294</v>
      </c>
      <c r="AY68" s="52" t="s">
        <v>498</v>
      </c>
      <c r="AZ68" s="52" t="s">
        <v>499</v>
      </c>
      <c r="BA68" s="52" t="s">
        <v>500</v>
      </c>
      <c r="BB68" s="52" t="s">
        <v>501</v>
      </c>
      <c r="BC68" s="803" t="s">
        <v>295</v>
      </c>
      <c r="BD68" s="803" t="s">
        <v>296</v>
      </c>
      <c r="BE68" s="52" t="s">
        <v>287</v>
      </c>
      <c r="BF68" s="803" t="s">
        <v>288</v>
      </c>
      <c r="BG68" s="52" t="s">
        <v>490</v>
      </c>
      <c r="BH68" s="52" t="s">
        <v>289</v>
      </c>
      <c r="BI68" s="803" t="s">
        <v>290</v>
      </c>
      <c r="BJ68" s="52" t="s">
        <v>493</v>
      </c>
      <c r="BK68" s="803" t="s">
        <v>291</v>
      </c>
      <c r="BL68" s="803" t="s">
        <v>292</v>
      </c>
      <c r="BM68" s="412" t="s">
        <v>1020</v>
      </c>
      <c r="BN68" s="412" t="s">
        <v>1021</v>
      </c>
      <c r="BU68" s="3" t="s">
        <v>1002</v>
      </c>
      <c r="BV68" s="3">
        <f>IF(E71=0,0,+VALUE(RIGHT(E71,4)))</f>
        <v>0</v>
      </c>
      <c r="BX68" s="3" t="s">
        <v>1011</v>
      </c>
      <c r="BY68" s="3" t="e">
        <f>+BY66+BY67</f>
        <v>#N/A</v>
      </c>
      <c r="BZ68" s="3" t="e">
        <f>+BZ66+BZ67</f>
        <v>#N/A</v>
      </c>
      <c r="CA68" s="3" t="s">
        <v>1018</v>
      </c>
      <c r="CB68" s="3" t="e">
        <f>+BY68*AW65/2</f>
        <v>#N/A</v>
      </c>
      <c r="CC68" s="3" t="e">
        <f>5*BY68*POWER(AW65,4)/(384*AT68)</f>
        <v>#N/A</v>
      </c>
      <c r="CD68" s="803" t="s">
        <v>291</v>
      </c>
      <c r="CE68" s="3" t="e">
        <f>ROUND(M65/10*POWER(CE67,2)/6,0)</f>
        <v>#N/A</v>
      </c>
      <c r="CZ68" s="3" t="s">
        <v>1019</v>
      </c>
      <c r="DA68" s="3">
        <f>+DA66*POWER(M70*100,2)/8</f>
        <v>0</v>
      </c>
      <c r="DB68" s="3" t="e">
        <f>+DB66*POWER(M70*100,2)/8</f>
        <v>#VALUE!</v>
      </c>
      <c r="DE68" s="3" t="e">
        <f>ROUND(DE65/AW69,2)</f>
        <v>#N/A</v>
      </c>
      <c r="DF68" s="3" t="e">
        <f>ROUND(DF65/BD69,2)</f>
        <v>#N/A</v>
      </c>
      <c r="DG68" s="3" t="e">
        <f>ROUND(DG65/AY69,2)</f>
        <v>#N/A</v>
      </c>
      <c r="DH68" s="3" t="e">
        <f>ROUND(DH65/AX69,2)</f>
        <v>#N/A</v>
      </c>
      <c r="DI68" s="3" t="e">
        <f>ROUND(DF65/BD69,2)</f>
        <v>#N/A</v>
      </c>
      <c r="DJ68" s="3" t="e">
        <f>ROUND(DG65/AZ69,2)</f>
        <v>#N/A</v>
      </c>
    </row>
    <row r="69" spans="2:117" x14ac:dyDescent="0.15">
      <c r="B69" s="1650"/>
      <c r="C69" s="1409"/>
      <c r="D69" s="1405"/>
      <c r="E69" s="1406"/>
      <c r="F69" s="411" t="s">
        <v>971</v>
      </c>
      <c r="G69" s="591" t="s">
        <v>972</v>
      </c>
      <c r="H69" s="1254"/>
      <c r="I69" s="1409"/>
      <c r="J69" s="586" t="s">
        <v>965</v>
      </c>
      <c r="K69" s="586" t="s">
        <v>1022</v>
      </c>
      <c r="L69" s="586" t="s">
        <v>966</v>
      </c>
      <c r="M69" s="470" t="s">
        <v>1026</v>
      </c>
      <c r="N69" s="194"/>
      <c r="O69" s="194"/>
      <c r="P69" s="194"/>
      <c r="Q69" s="1382"/>
      <c r="R69" s="1406"/>
      <c r="S69" s="1029"/>
      <c r="T69" s="1029"/>
      <c r="U69" s="882">
        <f>+IF(T69=0,0,6)</f>
        <v>0</v>
      </c>
      <c r="V69" s="1029"/>
      <c r="W69" s="1029"/>
      <c r="X69" s="1018">
        <f>IF(W69=0,0,+O170)</f>
        <v>0</v>
      </c>
      <c r="Y69" s="574">
        <f>IF(W69=0,0,+VLOOKUP(X69,$I$189:$J$194,2))</f>
        <v>0</v>
      </c>
      <c r="Z69" s="194"/>
      <c r="AA69" s="194"/>
      <c r="AB69" s="194"/>
      <c r="AC69" s="194"/>
      <c r="AD69" s="194"/>
      <c r="AE69" s="194"/>
      <c r="AF69" s="194"/>
      <c r="AG69" s="194"/>
      <c r="AH69" s="194"/>
      <c r="AI69" s="194"/>
      <c r="AJ69" s="194"/>
      <c r="AK69" s="194"/>
      <c r="AL69" s="181"/>
      <c r="AM69" s="302"/>
      <c r="AQ69" s="638" t="s">
        <v>1055</v>
      </c>
      <c r="AR69" s="409">
        <f>+VALUE(RIGHT($G$52,3))</f>
        <v>2</v>
      </c>
      <c r="AS69" s="520" t="s">
        <v>241</v>
      </c>
      <c r="AT69" s="3">
        <f>+IF(OR(W66=0,W66=1),1,W66)</f>
        <v>1</v>
      </c>
      <c r="AW69" s="10" t="e">
        <f>IF(AR69=2,ROUND(VLOOKUP(AR68,許容応力!$B$6:$K$22,7)*1.1/3*100,0),ROUND(VLOOKUP(AR68,許容応力!$B$6:$K$22,7)*1.1/3*1.3*100,0))</f>
        <v>#VALUE!</v>
      </c>
      <c r="AX69" s="63" t="e">
        <f>ROUND(VLOOKUP(AR68,許容応力!$B$6:$K$22,7)*100*2/3*0.8,0)</f>
        <v>#VALUE!</v>
      </c>
      <c r="AY69" s="10" t="e">
        <f>IF(AR69=2,ROUND(VLOOKUP(AR68,許容応力!$B$6:$K$22,8)*1.1/3*100,0),ROUND(VLOOKUP(AR68,許容応力!$B$6:$K$22,8)*1.1/3*1.3*100,0))</f>
        <v>#VALUE!</v>
      </c>
      <c r="AZ69" s="63" t="e">
        <f>ROUND(VLOOKUP(AR68,許容応力!$B$6:$K$22,8)*100*2/3*0.8,0)</f>
        <v>#VALUE!</v>
      </c>
      <c r="BA69" s="10" t="e">
        <f>IF(AR69=2,ROUND(VLOOKUP(AR68,許容応力!$B$6:$K$22,9)*1.1/3*100,0),ROUND(VLOOKUP(AR68,許容応力!$B$6:$K$22,9)*1.1/3*1.3*100,0))</f>
        <v>#VALUE!</v>
      </c>
      <c r="BB69" s="63" t="e">
        <f>ROUND(VLOOKUP(AR68,許容応力!$B$6:$K$22,9)*100*2/3*0.8,0)</f>
        <v>#VALUE!</v>
      </c>
      <c r="BC69" s="63">
        <f>IF(AR69=2,400,200)</f>
        <v>400</v>
      </c>
      <c r="BD69" s="63">
        <f>ROUND(AW65/BC69,2)</f>
        <v>0</v>
      </c>
      <c r="BE69" s="3" t="e">
        <f>ROUND(($AY67+CB67+DA68)/$BK69,1)</f>
        <v>#DIV/0!</v>
      </c>
      <c r="BF69" s="3" t="e">
        <f>ROUND(($CT66)/$BL69,2)</f>
        <v>#VALUE!</v>
      </c>
      <c r="BG69" s="63" t="e">
        <f>ROUND((BC67+CB68+DA69)/AY69,1)</f>
        <v>#DIV/0!</v>
      </c>
      <c r="BH69" s="3" t="e">
        <f>ROUND(($BA67+CB67+DB68)/$BK69,1)</f>
        <v>#DIV/0!</v>
      </c>
      <c r="BI69" s="3" t="e">
        <f>ROUNDDOWN(($CV66)/$BL69,1)</f>
        <v>#VALUE!</v>
      </c>
      <c r="BJ69" s="63" t="e">
        <f>ROUND((BE67+CB68+DB69)/AZ69,1)</f>
        <v>#DIV/0!</v>
      </c>
      <c r="BK69" s="63">
        <f>ROUNDDOWN(M65/10*POWER(O65/10,2)/6*IF(OR(W65=0,W65=1),1,W65),0)</f>
        <v>0</v>
      </c>
      <c r="BL69" s="63">
        <f>ROUNDDOWN(M65/10*POWER(O65/10,3)/12*IF(OR(W65=0,W65=1),1,W65),0)</f>
        <v>0</v>
      </c>
      <c r="BM69" s="63" t="e">
        <f>ROUND(BC67/(BA69*AH65),1)</f>
        <v>#DIV/0!</v>
      </c>
      <c r="BN69" s="63" t="e">
        <f>ROUND(BE67/(BB69*AH65),1)</f>
        <v>#DIV/0!</v>
      </c>
      <c r="CD69" s="803" t="s">
        <v>292</v>
      </c>
      <c r="CE69" s="3" t="e">
        <f>ROUND(M65/10*POWER(CE67,3)/12,0)</f>
        <v>#N/A</v>
      </c>
      <c r="CZ69" s="3" t="s">
        <v>1018</v>
      </c>
      <c r="DA69" s="3">
        <f>+DA66*M70*100/2</f>
        <v>0</v>
      </c>
      <c r="DB69" s="3" t="e">
        <f>+DB66*M70*100/2</f>
        <v>#VALUE!</v>
      </c>
      <c r="DE69" s="3" t="e">
        <f t="shared" ref="DE69:DJ69" si="18">+DE68</f>
        <v>#N/A</v>
      </c>
      <c r="DF69" s="3" t="e">
        <f t="shared" si="18"/>
        <v>#N/A</v>
      </c>
      <c r="DG69" s="3" t="e">
        <f t="shared" si="18"/>
        <v>#N/A</v>
      </c>
      <c r="DH69" s="3" t="e">
        <f t="shared" si="18"/>
        <v>#N/A</v>
      </c>
      <c r="DI69" s="3" t="e">
        <f t="shared" si="18"/>
        <v>#N/A</v>
      </c>
      <c r="DJ69" s="3" t="e">
        <f t="shared" si="18"/>
        <v>#N/A</v>
      </c>
    </row>
    <row r="70" spans="2:117" x14ac:dyDescent="0.15">
      <c r="B70" s="1650"/>
      <c r="C70" s="1410"/>
      <c r="D70" s="1322"/>
      <c r="E70" s="1211"/>
      <c r="F70" s="1028"/>
      <c r="G70" s="1028"/>
      <c r="H70" s="440">
        <f>ROUND((F70+G70)/2,2)</f>
        <v>0</v>
      </c>
      <c r="I70" s="1410"/>
      <c r="J70" s="1028"/>
      <c r="K70" s="476"/>
      <c r="L70" s="1028"/>
      <c r="M70" s="471">
        <f>SUM(J70:L70)</f>
        <v>0</v>
      </c>
      <c r="N70" s="440">
        <f>+M70*100</f>
        <v>0</v>
      </c>
      <c r="O70" s="302"/>
      <c r="P70" s="302"/>
      <c r="Q70" s="302"/>
      <c r="R70" s="302"/>
      <c r="S70" s="302"/>
      <c r="T70" s="302"/>
      <c r="U70" s="302"/>
      <c r="V70" s="302"/>
      <c r="W70" s="302"/>
      <c r="X70" s="1024">
        <f>IF(W69=0,0,+O169)</f>
        <v>0</v>
      </c>
      <c r="Y70" s="302"/>
      <c r="Z70" s="302"/>
      <c r="AA70" s="302"/>
      <c r="AB70" s="302"/>
      <c r="AC70" s="302"/>
      <c r="AD70" s="302"/>
      <c r="AE70" s="302"/>
      <c r="AF70" s="302"/>
      <c r="AG70" s="302"/>
      <c r="AH70" s="302"/>
      <c r="AI70" s="302"/>
      <c r="AJ70" s="302"/>
      <c r="AK70" s="302"/>
      <c r="AL70" s="181"/>
      <c r="AM70" s="302"/>
      <c r="AW70" s="3" t="e">
        <f>+AW69</f>
        <v>#VALUE!</v>
      </c>
      <c r="AX70" s="3" t="e">
        <f t="shared" ref="AX70:BD70" si="19">+AX69</f>
        <v>#VALUE!</v>
      </c>
      <c r="AY70" s="3" t="e">
        <f t="shared" si="19"/>
        <v>#VALUE!</v>
      </c>
      <c r="AZ70" s="3" t="e">
        <f t="shared" si="19"/>
        <v>#VALUE!</v>
      </c>
      <c r="BA70" s="3" t="e">
        <f t="shared" si="19"/>
        <v>#VALUE!</v>
      </c>
      <c r="BB70" s="3" t="e">
        <f t="shared" si="19"/>
        <v>#VALUE!</v>
      </c>
      <c r="BC70" s="3">
        <f t="shared" si="19"/>
        <v>400</v>
      </c>
      <c r="BD70" s="3">
        <f t="shared" si="19"/>
        <v>0</v>
      </c>
      <c r="BE70" s="3" t="e">
        <f>ROUND((CB67+$AY67+DA68)/$BK70,1)</f>
        <v>#N/A</v>
      </c>
      <c r="BF70" s="3" t="e">
        <f>ROUND(($CT67)/$BL70,2)</f>
        <v>#VALUE!</v>
      </c>
      <c r="BG70" s="63" t="e">
        <f>ROUND((BC67+CB68+DA69)/AY69,1)</f>
        <v>#DIV/0!</v>
      </c>
      <c r="BH70" s="3" t="e">
        <f>ROUND(($BA67+CB67+DB68)/$BK70,1)</f>
        <v>#DIV/0!</v>
      </c>
      <c r="BI70" s="3" t="e">
        <f>ROUND(($CV67)/$BL70,2)</f>
        <v>#VALUE!</v>
      </c>
      <c r="BJ70" s="63" t="e">
        <f>ROUND((BE67+CB68+DB69)/AZ69,1)</f>
        <v>#DIV/0!</v>
      </c>
      <c r="BK70" s="63">
        <f>IF(O66&lt;180,ROUND((O66/10-3)*POWER(O66/10-3,2)/6*IF(EX66=0,1,W66),0),ROUND((O66/10-5)*POWER((O66/10-3),2)/6*IF(W66=0,1,W66),0))</f>
        <v>-5</v>
      </c>
      <c r="BL70" s="63">
        <f>ROUND(IF(O66&lt;180,(O66/10-3)*POWER((O66/10-3),3)/12*IF(W66=0,1,W66),(O66/10-5))*POWER((O66/10-3),3)/12*IF(W66=0,1,W66),0)</f>
        <v>-15</v>
      </c>
      <c r="BM70" s="63" t="e">
        <f>+BM69</f>
        <v>#DIV/0!</v>
      </c>
      <c r="BN70" s="63" t="e">
        <f>+BN69</f>
        <v>#DIV/0!</v>
      </c>
    </row>
    <row r="71" spans="2:117" ht="15" thickBot="1" x14ac:dyDescent="0.2">
      <c r="B71" s="1651"/>
      <c r="C71" s="1411" t="s">
        <v>1002</v>
      </c>
      <c r="D71" s="1412"/>
      <c r="E71" s="1150"/>
      <c r="F71" s="472" t="s">
        <v>1003</v>
      </c>
      <c r="G71" s="1136"/>
      <c r="H71" s="459" t="s">
        <v>1004</v>
      </c>
      <c r="I71" s="460"/>
      <c r="J71" s="466"/>
      <c r="K71" s="473"/>
      <c r="L71" s="473"/>
      <c r="M71" s="473"/>
      <c r="N71" s="473"/>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175"/>
      <c r="AM71" s="302"/>
    </row>
    <row r="72" spans="2:117" ht="15" thickBot="1" x14ac:dyDescent="0.2">
      <c r="B72" s="1587" t="s">
        <v>1075</v>
      </c>
      <c r="C72" s="1680"/>
      <c r="D72" s="1681"/>
      <c r="E72" s="417" t="s">
        <v>184</v>
      </c>
      <c r="F72" s="670"/>
      <c r="G72" s="1034" t="s">
        <v>1061</v>
      </c>
      <c r="H72" s="1034" t="s">
        <v>1063</v>
      </c>
      <c r="I72" s="1034" t="s">
        <v>965</v>
      </c>
      <c r="J72" s="1034" t="s">
        <v>966</v>
      </c>
      <c r="K72" s="1034"/>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181"/>
      <c r="AM72" s="302"/>
      <c r="CA72" s="3">
        <v>1</v>
      </c>
      <c r="CB72" s="3">
        <v>2</v>
      </c>
      <c r="CC72" s="3">
        <v>3</v>
      </c>
      <c r="CD72" s="3">
        <v>4</v>
      </c>
      <c r="CE72" s="3">
        <v>5</v>
      </c>
      <c r="CF72" s="3">
        <v>6</v>
      </c>
      <c r="DK72" s="3" t="s">
        <v>1223</v>
      </c>
      <c r="DL72" s="3" t="s">
        <v>1224</v>
      </c>
    </row>
    <row r="73" spans="2:117" ht="14.25" customHeight="1" x14ac:dyDescent="0.15">
      <c r="B73" s="1650"/>
      <c r="C73" s="1676"/>
      <c r="D73" s="449"/>
      <c r="E73" s="1677"/>
      <c r="F73" s="1678" t="str">
        <f>IF(E73=0,"",ROUND(SQRT(COS(AV73*1.5*PI()/180)),3))</f>
        <v/>
      </c>
      <c r="G73" s="474"/>
      <c r="H73" s="474"/>
      <c r="I73" s="802"/>
      <c r="J73" s="802"/>
      <c r="K73" s="1033"/>
      <c r="L73" s="1575"/>
      <c r="M73" s="1654"/>
      <c r="N73" s="1229">
        <f>+IF(M73=0,0,"×")</f>
        <v>0</v>
      </c>
      <c r="O73" s="1295">
        <f>IF(M73=0,0,CN74)</f>
        <v>0</v>
      </c>
      <c r="P73" s="1296" t="str">
        <f>IF(X73=+"","",IF(AND(X73&lt;=1,Y73&lt;=1,AA73&lt;=1,AB73&lt;=1),"OK!","NO!"))</f>
        <v/>
      </c>
      <c r="Q73" s="1296">
        <f>IF(U73=0,0,IF(AND(S73=0,W77=0),0,IF(IF(Z73&gt;=AC73,Z73,AC73)&lt;=1,"OK!","NO!")))</f>
        <v>0</v>
      </c>
      <c r="R73" s="1659"/>
      <c r="S73" s="1269"/>
      <c r="T73" s="1271">
        <f>IF(S73=0,0,BU73)</f>
        <v>0</v>
      </c>
      <c r="U73" s="1253">
        <f>IF(AND(T77=0,S73=0),0,+IF(AND(VALUE(RIGHT(R73,4))=2,T77&gt;0),0,IF(AND(VALUE(RIGHT(R73,4))=1,S73&gt;0),0,DM73)))</f>
        <v>0</v>
      </c>
      <c r="V73" s="1257">
        <f>IF(S73=0,0,IF(BG77&gt;=BJ77,BG77,BJ77))</f>
        <v>0</v>
      </c>
      <c r="W73" s="1652"/>
      <c r="X73" s="1257" t="str">
        <f>IF(O73=0,"",ROUNDUP($BE77/$AW77,2))</f>
        <v/>
      </c>
      <c r="Y73" s="1257" t="str">
        <f>IF(O73=0,"",ROUND($BF77/$BD77,2))</f>
        <v/>
      </c>
      <c r="Z73" s="1257">
        <f>IF(L73=0,0,IF(AND(S73=0,W77=0),0,IF(S73=0,ROUNDUP((BC75+CB76)/(AY77*$P$181*AR11*Y77/100),2),+BV73)))</f>
        <v>0</v>
      </c>
      <c r="AA73" s="1257" t="str">
        <f>IF(O73=0,"",ROUNDUP($BH77/$AX77,2))</f>
        <v/>
      </c>
      <c r="AB73" s="1257" t="str">
        <f>IF(O73=0,"",ROUNDUP($BI77/$BD77,2))</f>
        <v/>
      </c>
      <c r="AC73" s="1257">
        <f>IF(L73=0,0,IF(AND(S73=0,W77=0),0,IF(S73=0,ROUNDUP((BE75+CB76)/(AZ77*$P$181*AR11*Y77/100),2),+BW73)))</f>
        <v>0</v>
      </c>
      <c r="AD73" s="162"/>
      <c r="AE73" s="447"/>
      <c r="AF73" s="430"/>
      <c r="AG73" s="428"/>
      <c r="AH73" s="1253">
        <f>IF(AD73=0,0,ROUND(AD73*AE73+AF73*AG73+AD74*AE74+AF74*AG74,2))</f>
        <v>0</v>
      </c>
      <c r="AI73" s="1253">
        <f>IF(AD73=0,0,IF(AN73=1,AM73/(AR11*Y77),AM73))</f>
        <v>0</v>
      </c>
      <c r="AJ73" s="1255" t="str">
        <f>IF(AI73=0,"",IF(AI73&lt;=1,"OK!","NO!"))</f>
        <v/>
      </c>
      <c r="AK73" s="191">
        <f>+IF(J78=0,0,"1/")</f>
        <v>0</v>
      </c>
      <c r="AL73" s="192">
        <f>IF(J78=0,0,+BC77)</f>
        <v>0</v>
      </c>
      <c r="AM73" s="3" t="e">
        <f>+IF(BM77&gt;=BN77,BM77+DK74,BN77+DL74)</f>
        <v>#DIV/0!</v>
      </c>
      <c r="AN73" s="3">
        <f>IF(Q77=0,0,+VALUE(RIGHT(Q77,4)))</f>
        <v>0</v>
      </c>
      <c r="AQ73" s="479" t="s">
        <v>877</v>
      </c>
      <c r="AR73" s="632">
        <f>+準備!G57+AT73</f>
        <v>850</v>
      </c>
      <c r="AS73" s="632" t="e">
        <f>+準備!G57+AU73</f>
        <v>#VALUE!</v>
      </c>
      <c r="AT73" s="63">
        <f>ROUNDUP(IF(VALUE(RIGHT($G$52,3))=1,AU73*0.7,0),0)</f>
        <v>0</v>
      </c>
      <c r="AU73" s="63" t="e">
        <f>ROUNDUP(IF(VALUE(RIGHT($G$52,4))=1,$M$52*30*F73*100,$M$52*20*F73*100),0)</f>
        <v>#VALUE!</v>
      </c>
      <c r="AV73" s="69">
        <f>ROUND(ATAN(E73/10)*180/PI(),4)</f>
        <v>0</v>
      </c>
      <c r="AW73" s="3">
        <f>+N78</f>
        <v>0</v>
      </c>
      <c r="AX73" s="3" t="s">
        <v>1033</v>
      </c>
      <c r="AY73" s="3" t="e">
        <f>ROUND($AU74*$AU75/$AW73*$AR74,1)</f>
        <v>#DIV/0!</v>
      </c>
      <c r="AZ73" s="641">
        <f>+AU75</f>
        <v>0</v>
      </c>
      <c r="BA73" s="640">
        <f>+AW74</f>
        <v>0</v>
      </c>
      <c r="BB73" s="3" t="e">
        <f>ROUND($AY73*$BA73/$AZ73+$AY74,0)</f>
        <v>#DIV/0!</v>
      </c>
      <c r="BC73" s="3" t="s">
        <v>1035</v>
      </c>
      <c r="BD73" s="3" t="e">
        <f>ROUND($AU74*$AU75/$AW73*$AS74,1)</f>
        <v>#DIV/0!</v>
      </c>
      <c r="BE73" s="3" t="e">
        <f>ROUND($BD73*$BA73/$AZ73+$BD74,0)</f>
        <v>#DIV/0!</v>
      </c>
      <c r="BF73" s="3" t="s">
        <v>1039</v>
      </c>
      <c r="BG73" s="3" t="e">
        <f>ROUND($AU75/$AW73*$AR74,0)</f>
        <v>#DIV/0!</v>
      </c>
      <c r="BH73" s="3" t="e">
        <f>ROUND($AU74/$AW73*$AR74,0)</f>
        <v>#DIV/0!</v>
      </c>
      <c r="BI73" s="3" t="s">
        <v>1043</v>
      </c>
      <c r="BJ73" s="3" t="e">
        <f>ROUND($AU75/$AW73*$AS74,0)</f>
        <v>#DIV/0!</v>
      </c>
      <c r="BK73" s="3" t="e">
        <f>ROUND($AU74/$AW73*$AS74,0)</f>
        <v>#DIV/0!</v>
      </c>
      <c r="BL73" s="3" t="s">
        <v>1057</v>
      </c>
      <c r="BM73" s="3">
        <f>ROUND(POWER($AW73,2)-POWER($AU75,2),0)</f>
        <v>0</v>
      </c>
      <c r="BN73" s="3">
        <f>ROUND(POWER($AW73,2)-POWER($AW75,2),0)</f>
        <v>0</v>
      </c>
      <c r="BO73" s="3">
        <f>+SQRT(POWER(BM73,3))</f>
        <v>0</v>
      </c>
      <c r="BP73" s="3">
        <f>+SQRT(POWER(BN73,3))</f>
        <v>0</v>
      </c>
      <c r="BQ73" s="63" t="e">
        <f>ROUNDUP($AR74*$AU75*$BO73/(9*SQRT(3)*$AT76*$AW73),2)</f>
        <v>#VALUE!</v>
      </c>
      <c r="BR73" s="63" t="e">
        <f>ROUNDUP($AR75*$AW75*$BP73/(9*SQRT(3)*$AT76*$AW73),2)</f>
        <v>#VALUE!</v>
      </c>
      <c r="BS73" s="63" t="e">
        <f>ROUNDUP($AS74*$AU75*$BO73/(9*SQRT(3)*$AT76*$AW73),2)</f>
        <v>#VALUE!</v>
      </c>
      <c r="BT73" s="63" t="e">
        <f>ROUNDUP($AS75*$AW75*$BP73/(9*SQRT(3)*$AT76*$AW73),2)</f>
        <v>#VALUE!</v>
      </c>
      <c r="BU73" s="9">
        <f>IF(O73=0,0,ROUNDUP(SQRT((V73*M73/10*O73/10)/(S73*S73)),2))</f>
        <v>0</v>
      </c>
      <c r="BV73" s="3" t="e">
        <f>ROUND((+BC75+CB76+DA77)/(AY77*U73),2)</f>
        <v>#DIV/0!</v>
      </c>
      <c r="BW73" s="3" t="e">
        <f>ROUND((+BE75+CB76+DB77)/(AZ77*U73),2)</f>
        <v>#DIV/0!</v>
      </c>
      <c r="BX73" s="393"/>
      <c r="BY73" s="803" t="s">
        <v>269</v>
      </c>
      <c r="BZ73" s="803" t="s">
        <v>269</v>
      </c>
      <c r="CA73" s="632">
        <f>+準備!$G$20/100</f>
        <v>4.5</v>
      </c>
      <c r="CB73" s="632">
        <f>+準備!$G$24/100</f>
        <v>11</v>
      </c>
      <c r="CC73" s="632">
        <f>+準備!$G$28/100</f>
        <v>14</v>
      </c>
      <c r="CD73" s="632">
        <f>+準備!$G$32/100</f>
        <v>17.5</v>
      </c>
      <c r="CE73" s="632">
        <f>+準備!$G$36/100</f>
        <v>17.5</v>
      </c>
      <c r="CF73" s="632">
        <f>+準備!$G$38/100</f>
        <v>4</v>
      </c>
      <c r="CN73" s="3" t="s">
        <v>998</v>
      </c>
      <c r="CO73" s="3" t="s">
        <v>995</v>
      </c>
      <c r="CP73" s="3" t="s">
        <v>189</v>
      </c>
      <c r="CQ73" s="3" t="s">
        <v>996</v>
      </c>
      <c r="CR73" s="3" t="s">
        <v>189</v>
      </c>
      <c r="CS73" s="3" t="s">
        <v>1059</v>
      </c>
      <c r="CT73" s="3" t="s">
        <v>189</v>
      </c>
      <c r="CU73" s="3" t="s">
        <v>996</v>
      </c>
      <c r="CV73" s="2" t="s">
        <v>189</v>
      </c>
      <c r="CW73" s="548" t="s">
        <v>995</v>
      </c>
      <c r="CX73" s="548" t="s">
        <v>189</v>
      </c>
      <c r="CY73" s="548" t="s">
        <v>996</v>
      </c>
      <c r="CZ73" s="548" t="s">
        <v>189</v>
      </c>
      <c r="DA73" s="803" t="s">
        <v>269</v>
      </c>
      <c r="DB73" s="803" t="s">
        <v>269</v>
      </c>
      <c r="DC73" s="3" t="s">
        <v>189</v>
      </c>
      <c r="DE73" s="3" t="e">
        <f>ROUND(($CB75+DA76)/$CE76,1)</f>
        <v>#N/A</v>
      </c>
      <c r="DF73" s="3" t="e">
        <f>ROUND(($CC76+DC75)/$CE77,2)</f>
        <v>#N/A</v>
      </c>
      <c r="DG73" s="3" t="e">
        <f>ROUND(($CB76+$DA77)/$U73,1)</f>
        <v>#N/A</v>
      </c>
      <c r="DH73" s="3" t="e">
        <f>ROUND(($CB75+DB76)/$CE76,1)</f>
        <v>#N/A</v>
      </c>
      <c r="DI73" s="3" t="e">
        <f>ROUND(($CC76+DD75)/$CE77,2)</f>
        <v>#N/A</v>
      </c>
      <c r="DJ73" s="3" t="e">
        <f>ROUND(($CB76+DB77)/$U73,1)</f>
        <v>#N/A</v>
      </c>
      <c r="DK73" s="3" t="e">
        <f>ROUND(VLOOKUP(VALUE(RIGHT($L73,4)),許容応力!$B$6:$K$22,9)*1.1/3*100,0)</f>
        <v>#VALUE!</v>
      </c>
      <c r="DL73" s="3" t="e">
        <f>ROUND(VLOOKUP(VALUE(RIGHT($L73,4)),許容応力!$B$6:$K$22,9)*2/3*0.8*100,0)</f>
        <v>#VALUE!</v>
      </c>
      <c r="DM73" s="1253">
        <f>IF(AND(S73=0,W77=0),0,IF(T73=0,P$181*AR11*Y77/100,ROUND(POWER(S73*T73,2)/(M73/10*O73/10),2)))</f>
        <v>0</v>
      </c>
    </row>
    <row r="74" spans="2:117" x14ac:dyDescent="0.15">
      <c r="B74" s="1650"/>
      <c r="C74" s="1676"/>
      <c r="D74" s="439"/>
      <c r="E74" s="1677"/>
      <c r="F74" s="1555"/>
      <c r="G74" s="1034" t="s">
        <v>1064</v>
      </c>
      <c r="H74" s="1034" t="s">
        <v>1062</v>
      </c>
      <c r="I74" s="1033"/>
      <c r="J74" s="1034" t="s">
        <v>966</v>
      </c>
      <c r="K74" s="1034" t="s">
        <v>965</v>
      </c>
      <c r="L74" s="1478"/>
      <c r="M74" s="1653"/>
      <c r="N74" s="1285"/>
      <c r="O74" s="1258"/>
      <c r="P74" s="1258"/>
      <c r="Q74" s="1297"/>
      <c r="R74" s="1660"/>
      <c r="S74" s="1270"/>
      <c r="T74" s="1254"/>
      <c r="U74" s="1272"/>
      <c r="V74" s="1254"/>
      <c r="W74" s="1653"/>
      <c r="X74" s="1258"/>
      <c r="Y74" s="1258"/>
      <c r="Z74" s="1254"/>
      <c r="AA74" s="1258"/>
      <c r="AB74" s="1258"/>
      <c r="AC74" s="1254"/>
      <c r="AD74" s="160"/>
      <c r="AE74" s="432"/>
      <c r="AF74" s="433"/>
      <c r="AG74" s="434"/>
      <c r="AH74" s="1254"/>
      <c r="AI74" s="1254"/>
      <c r="AJ74" s="1673"/>
      <c r="AK74" s="184">
        <f>+IF(G78=0,0,"1/")</f>
        <v>0</v>
      </c>
      <c r="AL74" s="185">
        <f>IF(J78=0,0,+BC78)</f>
        <v>0</v>
      </c>
      <c r="AM74" s="597"/>
      <c r="AN74" s="407"/>
      <c r="AQ74" s="638" t="s">
        <v>1023</v>
      </c>
      <c r="AR74" s="3">
        <f>ROUND(AR73*(G73+H73)/2*(I73+J73)/2,0)</f>
        <v>0</v>
      </c>
      <c r="AS74" s="3" t="e">
        <f>ROUND(AS73*(G73+H73)/2*(I73+J73)/2,0)</f>
        <v>#VALUE!</v>
      </c>
      <c r="AT74" s="3" t="s">
        <v>1029</v>
      </c>
      <c r="AU74" s="640">
        <f>+J78*100</f>
        <v>0</v>
      </c>
      <c r="AV74" s="3" t="s">
        <v>1031</v>
      </c>
      <c r="AW74" s="640">
        <f>+L78*100</f>
        <v>0</v>
      </c>
      <c r="AX74" s="3" t="s">
        <v>1034</v>
      </c>
      <c r="AY74" s="3" t="e">
        <f>ROUND($AW74*$AW75/$AW73*$AR75,1)</f>
        <v>#DIV/0!</v>
      </c>
      <c r="AZ74" s="641">
        <f>+AW75</f>
        <v>0</v>
      </c>
      <c r="BA74" s="640">
        <f>+AU74</f>
        <v>0</v>
      </c>
      <c r="BB74" s="3" t="e">
        <f>ROUND($AY74*$BA74/$AZ74+$AY73,0)</f>
        <v>#DIV/0!</v>
      </c>
      <c r="BC74" s="3" t="s">
        <v>1036</v>
      </c>
      <c r="BD74" s="3" t="e">
        <f>ROUND($AW74*$AW75/$AW73*$AS75,1)</f>
        <v>#DIV/0!</v>
      </c>
      <c r="BE74" s="3" t="e">
        <f>ROUND($BD74*$BA74/$AZ74+$BD73,0)</f>
        <v>#DIV/0!</v>
      </c>
      <c r="BF74" s="3" t="s">
        <v>1040</v>
      </c>
      <c r="BG74" s="3" t="e">
        <f>ROUND($AW74/$AW73*$AR75,0)</f>
        <v>#DIV/0!</v>
      </c>
      <c r="BH74" s="3" t="e">
        <f>ROUND($AW75/$AW73*$AR75,0)</f>
        <v>#DIV/0!</v>
      </c>
      <c r="BI74" s="3" t="s">
        <v>1044</v>
      </c>
      <c r="BJ74" s="3" t="e">
        <f>ROUND($AW74/$AW73*$AS75,0)</f>
        <v>#DIV/0!</v>
      </c>
      <c r="BK74" s="3" t="e">
        <f>ROUND($AW75/$AW73*$AS75,0)</f>
        <v>#DIV/0!</v>
      </c>
      <c r="BM74" s="3">
        <f>ROUND(POWER($AW73,2)-POWER($AW74,2),0)</f>
        <v>0</v>
      </c>
      <c r="BN74" s="3">
        <f>ROUND(POWER($AW73,2)-POWER($AW75,2),0)</f>
        <v>0</v>
      </c>
      <c r="BO74" s="3">
        <f>+SQRT(POWER(BM74,3))</f>
        <v>0</v>
      </c>
      <c r="BP74" s="3">
        <f>+SQRT(POWER(BN74,3))</f>
        <v>0</v>
      </c>
      <c r="BQ74" s="63" t="e">
        <f>ROUNDUP($BR73*$AU74/$AW75,2)</f>
        <v>#VALUE!</v>
      </c>
      <c r="BR74" s="63" t="e">
        <f>ROUNDUP($BQ73*$AW74/$AU75,2)</f>
        <v>#VALUE!</v>
      </c>
      <c r="BS74" s="63" t="e">
        <f>ROUNDUP($BT73*$AU74/$AW75,2)</f>
        <v>#VALUE!</v>
      </c>
      <c r="BT74" s="63" t="e">
        <f>ROUNDUP($BS73*$AW74/$AU75,2)</f>
        <v>#VALUE!</v>
      </c>
      <c r="BU74" s="9">
        <f>IF(O74=0,0,ROUNDUP(SQRT(IF(R74=0,(V74*(O74/10-6)*(O74/10-3)),(V74*(R74/10-6)*(R74/10-3)))/(S74*S74)),2))</f>
        <v>0</v>
      </c>
      <c r="BV74" s="3" t="e">
        <f>ROUND((+BC75+CB76+DA77)/(AY78*S74*T74),2)</f>
        <v>#DIV/0!</v>
      </c>
      <c r="BW74" s="3" t="e">
        <f>ROUND((+BE75+CB76+DB77)/(AZ78*S74*T74),2)</f>
        <v>#DIV/0!</v>
      </c>
      <c r="BX74" s="78"/>
      <c r="BY74" s="87" t="e">
        <f>IF(OR(BV75=0,BV75=1),0,ROUNDUP((準備!$G$60/100+準備!$D$48/100)*((F78+G78)/2*100)/200,2))</f>
        <v>#N/A</v>
      </c>
      <c r="BZ74" s="87" t="e">
        <f>+BY74</f>
        <v>#N/A</v>
      </c>
      <c r="CA74" s="3">
        <f t="shared" ref="CA74:CF74" si="20">ROUND(CA73*$I79,2)</f>
        <v>0</v>
      </c>
      <c r="CB74" s="3">
        <f t="shared" si="20"/>
        <v>0</v>
      </c>
      <c r="CC74" s="3">
        <f t="shared" si="20"/>
        <v>0</v>
      </c>
      <c r="CD74" s="3">
        <f t="shared" si="20"/>
        <v>0</v>
      </c>
      <c r="CE74" s="3">
        <f t="shared" si="20"/>
        <v>0</v>
      </c>
      <c r="CF74" s="3">
        <f t="shared" si="20"/>
        <v>0</v>
      </c>
      <c r="CJ74" s="63" t="e">
        <f>+ROUNDUP(CO74/3,-1)*3</f>
        <v>#DIV/0!</v>
      </c>
      <c r="CK74" s="63" t="e">
        <f>+ROUNDUP(CP74/3,-1)*3</f>
        <v>#VALUE!</v>
      </c>
      <c r="CL74" s="63" t="e">
        <f>+ROUNDUP(CQ74/3,-1)*3</f>
        <v>#DIV/0!</v>
      </c>
      <c r="CM74" s="63" t="e">
        <f>+ROUNDUP(CR74/3,-1)*3</f>
        <v>#VALUE!</v>
      </c>
      <c r="CN74" s="649" t="e">
        <f>MAX(CJ74:CM74)</f>
        <v>#DIV/0!</v>
      </c>
      <c r="CO74" s="63" t="e">
        <f>ROUNDUP(SQRT(ROUND($CS74/$AW77*6/($M73/10)/IF($W73=0,1,$W73),1))*10,0)</f>
        <v>#DIV/0!</v>
      </c>
      <c r="CP74" s="3" t="e">
        <f>POWER(ROUNDDOWN($CT74/($M73/10)*12,0)/IF($W73=0,1,$W73)/$BD77,1/3)*10</f>
        <v>#VALUE!</v>
      </c>
      <c r="CQ74" s="63" t="e">
        <f>ROUNDUP(SQRT(ROUND($CU74/$AX77*6/($M73/10)/IF($W73=0,1,$W73),1))*10,0)</f>
        <v>#DIV/0!</v>
      </c>
      <c r="CR74" s="3" t="e">
        <f>POWER(ROUNDDOWN($CV74/($M73/10)*12,0)/IF($W73=0,1,$W73)/$BD77,1/3)*10</f>
        <v>#VALUE!</v>
      </c>
      <c r="CS74" s="63" t="e">
        <f>+AY75+CB75+DA76</f>
        <v>#DIV/0!</v>
      </c>
      <c r="CT74" s="63" t="e">
        <f>+IF(BQ75&gt;=BR75,BQ75+CC76+DC75,BR75+CC76+DC75)</f>
        <v>#VALUE!</v>
      </c>
      <c r="CU74" s="63" t="e">
        <f>+BA75+CB75+DB76</f>
        <v>#DIV/0!</v>
      </c>
      <c r="CV74" s="78" t="e">
        <f>+IF(BS75&gt;=BT75,BS75+CC76+DD75,BT75+CC76+DD75)</f>
        <v>#VALUE!</v>
      </c>
      <c r="CW74" s="548" t="e">
        <f>+CO74</f>
        <v>#DIV/0!</v>
      </c>
      <c r="CX74" s="548" t="e">
        <f>+CP74</f>
        <v>#VALUE!</v>
      </c>
      <c r="CY74" s="548" t="e">
        <f>CQ74</f>
        <v>#DIV/0!</v>
      </c>
      <c r="CZ74" s="548" t="e">
        <f>+CR74</f>
        <v>#VALUE!</v>
      </c>
      <c r="DA74" s="87">
        <f>IF(OR($BV75=0,$BV75=1),0,ROUND((準備!$G$6+$AT73)*$G78/200,2))</f>
        <v>0</v>
      </c>
      <c r="DB74" s="87" t="e">
        <f>IF(OR($BV75=0,$BV75=1),0,ROUND((準備!$G$6+$AU73)*$G78/200,2))</f>
        <v>#VALUE!</v>
      </c>
      <c r="DC74" s="3" t="s">
        <v>168</v>
      </c>
      <c r="DD74" s="3" t="s">
        <v>203</v>
      </c>
      <c r="DE74" s="3" t="e">
        <f t="shared" ref="DE74:DJ74" si="21">+DE73</f>
        <v>#N/A</v>
      </c>
      <c r="DF74" s="3" t="e">
        <f t="shared" si="21"/>
        <v>#N/A</v>
      </c>
      <c r="DG74" s="3" t="e">
        <f t="shared" si="21"/>
        <v>#N/A</v>
      </c>
      <c r="DH74" s="3" t="e">
        <f t="shared" si="21"/>
        <v>#N/A</v>
      </c>
      <c r="DI74" s="3" t="e">
        <f t="shared" si="21"/>
        <v>#N/A</v>
      </c>
      <c r="DJ74" s="3" t="e">
        <f t="shared" si="21"/>
        <v>#N/A</v>
      </c>
      <c r="DK74" s="3" t="e">
        <f>ROUND(DA74*M78*100/2/DK73/AH73,2)</f>
        <v>#VALUE!</v>
      </c>
      <c r="DL74" s="3" t="e">
        <f>ROUND(DB74*M78*100/2/DL73/AH73,2)</f>
        <v>#VALUE!</v>
      </c>
      <c r="DM74" s="1254"/>
    </row>
    <row r="75" spans="2:117" x14ac:dyDescent="0.15">
      <c r="B75" s="1650"/>
      <c r="C75" s="1270"/>
      <c r="D75" s="194"/>
      <c r="E75" s="1270"/>
      <c r="F75" s="1254"/>
      <c r="G75" s="1035">
        <f>+H73</f>
        <v>0</v>
      </c>
      <c r="H75" s="475"/>
      <c r="I75" s="1033"/>
      <c r="J75" s="1033">
        <f>+J73</f>
        <v>0</v>
      </c>
      <c r="K75" s="1033">
        <f>+I73</f>
        <v>0</v>
      </c>
      <c r="L75" s="194"/>
      <c r="M75" s="176"/>
      <c r="N75" s="176"/>
      <c r="O75" s="176"/>
      <c r="P75" s="176"/>
      <c r="Q75" s="451"/>
      <c r="R75" s="878"/>
      <c r="S75" s="1307" t="s">
        <v>1154</v>
      </c>
      <c r="T75" s="1308"/>
      <c r="U75" s="1308"/>
      <c r="V75" s="1308"/>
      <c r="W75" s="1308"/>
      <c r="X75" s="1308"/>
      <c r="Y75" s="1621"/>
      <c r="Z75" s="176"/>
      <c r="AA75" s="176"/>
      <c r="AB75" s="176"/>
      <c r="AC75" s="176"/>
      <c r="AD75" s="176"/>
      <c r="AE75" s="176"/>
      <c r="AF75" s="176"/>
      <c r="AG75" s="176"/>
      <c r="AH75" s="176"/>
      <c r="AI75" s="176"/>
      <c r="AJ75" s="176"/>
      <c r="AK75" s="176"/>
      <c r="AL75" s="469"/>
      <c r="AM75" s="302"/>
      <c r="AQ75" s="638" t="s">
        <v>1024</v>
      </c>
      <c r="AR75" s="3">
        <f>ROUND(AR73*(G75+H75)/2*(K75+J75)/2,0)</f>
        <v>0</v>
      </c>
      <c r="AS75" s="3" t="e">
        <f>ROUND(AS73*(G75+H75)/2*(K75+J75)/2,0)</f>
        <v>#VALUE!</v>
      </c>
      <c r="AT75" s="3" t="s">
        <v>1030</v>
      </c>
      <c r="AU75" s="641">
        <f>(+K78+L78)*100</f>
        <v>0</v>
      </c>
      <c r="AV75" s="3" t="s">
        <v>1032</v>
      </c>
      <c r="AW75" s="641">
        <f>(+J78+K78)*100</f>
        <v>0</v>
      </c>
      <c r="AX75" s="3" t="s">
        <v>1037</v>
      </c>
      <c r="AY75" s="548" t="e">
        <f>+IF(BB73&gt;=BB74,BB73,BB74)</f>
        <v>#DIV/0!</v>
      </c>
      <c r="AZ75" s="3" t="s">
        <v>1038</v>
      </c>
      <c r="BA75" s="548" t="e">
        <f>+IF(BE73&gt;=BE74,BE73,BE74)</f>
        <v>#DIV/0!</v>
      </c>
      <c r="BB75" s="3" t="s">
        <v>1041</v>
      </c>
      <c r="BC75" s="548" t="e">
        <f>+IF(BG75&gt;=BH75,BG75,BH75)</f>
        <v>#DIV/0!</v>
      </c>
      <c r="BD75" s="3" t="s">
        <v>1042</v>
      </c>
      <c r="BE75" s="548" t="e">
        <f>+IF(BJ75&gt;=BK75,BJ75,BK75)</f>
        <v>#DIV/0!</v>
      </c>
      <c r="BG75" s="3" t="e">
        <f>SUM(BG73:BG74)</f>
        <v>#DIV/0!</v>
      </c>
      <c r="BH75" s="3" t="e">
        <f>SUM(BH73:BH74)</f>
        <v>#DIV/0!</v>
      </c>
      <c r="BJ75" s="3" t="e">
        <f>SUM(BJ73:BJ74)</f>
        <v>#DIV/0!</v>
      </c>
      <c r="BK75" s="3" t="e">
        <f>SUM(BK73:BK74)</f>
        <v>#DIV/0!</v>
      </c>
      <c r="BM75" s="3">
        <f t="shared" ref="BM75:BT75" si="22">SUM(BM73:BM74)</f>
        <v>0</v>
      </c>
      <c r="BN75" s="3">
        <f t="shared" si="22"/>
        <v>0</v>
      </c>
      <c r="BO75" s="3">
        <f t="shared" si="22"/>
        <v>0</v>
      </c>
      <c r="BP75" s="3">
        <f t="shared" si="22"/>
        <v>0</v>
      </c>
      <c r="BQ75" s="3" t="e">
        <f t="shared" si="22"/>
        <v>#VALUE!</v>
      </c>
      <c r="BR75" s="3" t="e">
        <f t="shared" si="22"/>
        <v>#VALUE!</v>
      </c>
      <c r="BS75" s="3" t="e">
        <f t="shared" si="22"/>
        <v>#VALUE!</v>
      </c>
      <c r="BT75" s="3" t="e">
        <f t="shared" si="22"/>
        <v>#VALUE!</v>
      </c>
      <c r="BU75" s="3" t="s">
        <v>1012</v>
      </c>
      <c r="BV75" s="3">
        <f>IF(D76=0,0,+VALUE(RIGHT(D76,4)))</f>
        <v>2</v>
      </c>
      <c r="BW75" s="3" t="s">
        <v>1003</v>
      </c>
      <c r="BX75" s="3" t="e">
        <f>+VALUE(RIGHT(G79,4))</f>
        <v>#VALUE!</v>
      </c>
      <c r="BY75" s="3">
        <f>IF(OR(BV76=0,BV76=2),0,HLOOKUP(BX75,CA72:CF74,3))</f>
        <v>0</v>
      </c>
      <c r="BZ75" s="3">
        <f>+BY75</f>
        <v>0</v>
      </c>
      <c r="CA75" s="3" t="s">
        <v>1019</v>
      </c>
      <c r="CB75" s="3" t="e">
        <f>BY76*POWER(AW73,2)/8</f>
        <v>#N/A</v>
      </c>
      <c r="CC75" s="3" t="s">
        <v>189</v>
      </c>
      <c r="CD75" s="3" t="s">
        <v>782</v>
      </c>
      <c r="CE75" s="3" t="e">
        <f>ROUNDUP(+SQRT((CB75+DA76)*6/(AW77*M73/10)),0)</f>
        <v>#N/A</v>
      </c>
      <c r="CJ75" s="63" t="e">
        <f>IF(W74=0.8,VLOOKUP(CW75,$AR$397:$AS$442,2),IF(W74=0.9,VLOOKUP(CW75,$AR$350:$AS$395,2),VLOOKUP(CW75,$AR$303:$AS$348,2)))</f>
        <v>#DIV/0!</v>
      </c>
      <c r="CK75" s="63" t="e">
        <f>IF(W74=0.8,VLOOKUP(CX75,$AT$397:$AU$442,2),IF(W74=0.9,VLOOKUP(CX75,$AT$350:$AU$395,2),VLOOKUP(CX75,$AT$303:$AU$348,2)))</f>
        <v>#VALUE!</v>
      </c>
      <c r="CL75" s="63" t="e">
        <f>IF(W74=0.8,VLOOKUP(CY75,$AR$397:$AS$442,2),IF(W74=0.9,VLOOKUP(CY75,$AR$350:$AS$395,2),VLOOKUP(CY75,$AR$303:$AS$348,2)))</f>
        <v>#DIV/0!</v>
      </c>
      <c r="CM75" s="63" t="e">
        <f>IF(W74=0.8,VLOOKUP(CZ75,$AT$397:$AU$442,2),IF(W74=0.9,VLOOKUP(CZ75,$AT$350:$AU$396,2),VLOOKUP(CZ75,$AT$303:$AU$348,2)))</f>
        <v>#VALUE!</v>
      </c>
      <c r="CN75" s="649" t="e">
        <f>MAX(CJ75:CM75)</f>
        <v>#DIV/0!</v>
      </c>
      <c r="CO75" s="63" t="e">
        <f>ROUNDUP(CS75/$AW77/IF(W74=0,1,W74),1)</f>
        <v>#DIV/0!</v>
      </c>
      <c r="CP75" s="63" t="e">
        <f>ROUNDUP($CT75/($BD77*AT77),2)</f>
        <v>#VALUE!</v>
      </c>
      <c r="CQ75" s="63" t="e">
        <f>ROUNDUP(CU75/$AX77/IF(W74=0,1,W74),1)</f>
        <v>#DIV/0!</v>
      </c>
      <c r="CR75" s="63" t="e">
        <f>ROUNDUP($CV75/($BD77*AT77),2)</f>
        <v>#VALUE!</v>
      </c>
      <c r="CS75" s="63" t="e">
        <f>+CS74</f>
        <v>#DIV/0!</v>
      </c>
      <c r="CT75" s="3" t="e">
        <f>+CT74</f>
        <v>#VALUE!</v>
      </c>
      <c r="CU75" s="3" t="e">
        <f>+CU74</f>
        <v>#DIV/0!</v>
      </c>
      <c r="CV75" s="2" t="e">
        <f>+CV74</f>
        <v>#VALUE!</v>
      </c>
      <c r="CW75" s="548" t="e">
        <f>+CO75</f>
        <v>#DIV/0!</v>
      </c>
      <c r="CX75" s="548" t="e">
        <f>+CP75</f>
        <v>#VALUE!</v>
      </c>
      <c r="CY75" s="548" t="e">
        <f>CQ75</f>
        <v>#DIV/0!</v>
      </c>
      <c r="CZ75" s="548" t="e">
        <f>+CR75</f>
        <v>#VALUE!</v>
      </c>
      <c r="DC75" s="3" t="e">
        <f>5*DA74*POWER(N78,4)/(384*AT76)</f>
        <v>#VALUE!</v>
      </c>
      <c r="DD75" s="3" t="e">
        <f>5*DB74*POWER(N78,4)/(384*AT76)</f>
        <v>#VALUE!</v>
      </c>
      <c r="DE75" s="412" t="s">
        <v>1065</v>
      </c>
      <c r="DF75" s="349" t="s">
        <v>1066</v>
      </c>
      <c r="DG75" s="412" t="s">
        <v>1067</v>
      </c>
      <c r="DH75" s="412" t="s">
        <v>1065</v>
      </c>
      <c r="DI75" s="349" t="s">
        <v>1066</v>
      </c>
      <c r="DJ75" s="412" t="s">
        <v>1067</v>
      </c>
    </row>
    <row r="76" spans="2:117" ht="14.25" customHeight="1" x14ac:dyDescent="0.15">
      <c r="B76" s="1650"/>
      <c r="C76" s="1679" t="s">
        <v>980</v>
      </c>
      <c r="D76" s="1403" t="s">
        <v>961</v>
      </c>
      <c r="E76" s="1404"/>
      <c r="F76" s="1407" t="s">
        <v>964</v>
      </c>
      <c r="G76" s="1408"/>
      <c r="H76" s="1669" t="s">
        <v>1025</v>
      </c>
      <c r="I76" s="1679" t="s">
        <v>970</v>
      </c>
      <c r="J76" s="1277" t="s">
        <v>1060</v>
      </c>
      <c r="K76" s="1671"/>
      <c r="L76" s="1671"/>
      <c r="M76" s="1278"/>
      <c r="N76" s="194"/>
      <c r="O76" s="194"/>
      <c r="P76" s="194"/>
      <c r="Q76" s="1342"/>
      <c r="R76" s="1406"/>
      <c r="S76" s="877" t="s">
        <v>1265</v>
      </c>
      <c r="T76" s="877" t="s">
        <v>1266</v>
      </c>
      <c r="U76" s="877" t="s">
        <v>1267</v>
      </c>
      <c r="V76" s="877" t="s">
        <v>1260</v>
      </c>
      <c r="W76" s="877" t="s">
        <v>1268</v>
      </c>
      <c r="X76" s="440" t="s">
        <v>1151</v>
      </c>
      <c r="Y76" s="440" t="s">
        <v>1153</v>
      </c>
      <c r="Z76" s="194"/>
      <c r="AA76" s="194"/>
      <c r="AB76" s="194"/>
      <c r="AC76" s="194"/>
      <c r="AD76" s="194"/>
      <c r="AE76" s="194"/>
      <c r="AF76" s="194"/>
      <c r="AG76" s="194"/>
      <c r="AH76" s="194"/>
      <c r="AI76" s="194"/>
      <c r="AJ76" s="194"/>
      <c r="AK76" s="194"/>
      <c r="AL76" s="181"/>
      <c r="AM76" s="302"/>
      <c r="AQ76" s="3" t="s">
        <v>15</v>
      </c>
      <c r="AR76" s="3" t="e">
        <f>+VALUE(RIGHT(L73,4))</f>
        <v>#VALUE!</v>
      </c>
      <c r="AS76" s="615" t="s">
        <v>880</v>
      </c>
      <c r="AT76" s="642" t="e">
        <f>+VLOOKUP(VALUE(RIGHT(L73,4)),許容応力!$B$6:$K$22,10)*100</f>
        <v>#VALUE!</v>
      </c>
      <c r="AU76" s="615" t="s">
        <v>881</v>
      </c>
      <c r="AV76" s="520">
        <f>+BN75</f>
        <v>0</v>
      </c>
      <c r="AW76" s="3" t="s">
        <v>997</v>
      </c>
      <c r="AX76" s="3" t="s">
        <v>294</v>
      </c>
      <c r="AY76" s="52" t="s">
        <v>498</v>
      </c>
      <c r="AZ76" s="52" t="s">
        <v>499</v>
      </c>
      <c r="BA76" s="52" t="s">
        <v>500</v>
      </c>
      <c r="BB76" s="52" t="s">
        <v>501</v>
      </c>
      <c r="BC76" s="803" t="s">
        <v>295</v>
      </c>
      <c r="BD76" s="803" t="s">
        <v>296</v>
      </c>
      <c r="BE76" s="52" t="s">
        <v>287</v>
      </c>
      <c r="BF76" s="803" t="s">
        <v>288</v>
      </c>
      <c r="BG76" s="52" t="s">
        <v>490</v>
      </c>
      <c r="BH76" s="52" t="s">
        <v>289</v>
      </c>
      <c r="BI76" s="803" t="s">
        <v>290</v>
      </c>
      <c r="BJ76" s="52" t="s">
        <v>493</v>
      </c>
      <c r="BK76" s="803" t="s">
        <v>291</v>
      </c>
      <c r="BL76" s="803" t="s">
        <v>292</v>
      </c>
      <c r="BM76" s="412" t="s">
        <v>1020</v>
      </c>
      <c r="BN76" s="412" t="s">
        <v>1021</v>
      </c>
      <c r="BU76" s="3" t="s">
        <v>1002</v>
      </c>
      <c r="BV76" s="3">
        <f>IF(E79=0,0,+VALUE(RIGHT(E79,4)))</f>
        <v>0</v>
      </c>
      <c r="BX76" s="3" t="s">
        <v>1011</v>
      </c>
      <c r="BY76" s="3" t="e">
        <f>+BY74+BY75</f>
        <v>#N/A</v>
      </c>
      <c r="BZ76" s="3" t="e">
        <f>+BZ74+BZ75</f>
        <v>#N/A</v>
      </c>
      <c r="CA76" s="3" t="s">
        <v>1018</v>
      </c>
      <c r="CB76" s="3" t="e">
        <f>+BY76*AW73/2</f>
        <v>#N/A</v>
      </c>
      <c r="CC76" s="3" t="e">
        <f>5*BY76*POWER(AW73,4)/(384*AT76)</f>
        <v>#N/A</v>
      </c>
      <c r="CD76" s="803" t="s">
        <v>291</v>
      </c>
      <c r="CE76" s="3" t="e">
        <f>ROUND(M73/10*POWER(CE75,2)/6,0)</f>
        <v>#N/A</v>
      </c>
      <c r="CZ76" s="3" t="s">
        <v>1019</v>
      </c>
      <c r="DA76" s="3">
        <f>+DA74*POWER(M78*100,2)/8</f>
        <v>0</v>
      </c>
      <c r="DB76" s="3" t="e">
        <f>+DB74*POWER(M78*100,2)/8</f>
        <v>#VALUE!</v>
      </c>
      <c r="DE76" s="3" t="e">
        <f>ROUND(DE73/AW77,2)</f>
        <v>#N/A</v>
      </c>
      <c r="DF76" s="3" t="e">
        <f>ROUND(DF73/BD77,2)</f>
        <v>#N/A</v>
      </c>
      <c r="DG76" s="3" t="e">
        <f>ROUND(DG73/AY77,2)</f>
        <v>#N/A</v>
      </c>
      <c r="DH76" s="3" t="e">
        <f>ROUND(DH73/AX77,2)</f>
        <v>#N/A</v>
      </c>
      <c r="DI76" s="3" t="e">
        <f>ROUND(DF73/BD77,2)</f>
        <v>#N/A</v>
      </c>
      <c r="DJ76" s="3" t="e">
        <f>ROUND(DG73/AZ77,2)</f>
        <v>#N/A</v>
      </c>
    </row>
    <row r="77" spans="2:117" x14ac:dyDescent="0.15">
      <c r="B77" s="1650"/>
      <c r="C77" s="1409"/>
      <c r="D77" s="1405"/>
      <c r="E77" s="1406"/>
      <c r="F77" s="411" t="s">
        <v>971</v>
      </c>
      <c r="G77" s="591" t="s">
        <v>972</v>
      </c>
      <c r="H77" s="1254"/>
      <c r="I77" s="1409"/>
      <c r="J77" s="586" t="s">
        <v>965</v>
      </c>
      <c r="K77" s="586" t="s">
        <v>1022</v>
      </c>
      <c r="L77" s="586" t="s">
        <v>966</v>
      </c>
      <c r="M77" s="470" t="s">
        <v>1026</v>
      </c>
      <c r="N77" s="194"/>
      <c r="O77" s="194"/>
      <c r="P77" s="194"/>
      <c r="Q77" s="1382"/>
      <c r="R77" s="1406"/>
      <c r="S77" s="1029"/>
      <c r="T77" s="1029"/>
      <c r="U77" s="882">
        <f>+IF(T77=0,0,6)</f>
        <v>0</v>
      </c>
      <c r="V77" s="1029"/>
      <c r="W77" s="1029"/>
      <c r="X77" s="1018">
        <f>IF(W77=0,0,+P170)</f>
        <v>0</v>
      </c>
      <c r="Y77" s="574">
        <f>IF(W77=0,0,+VLOOKUP(X77,$I$189:$J$194,2))</f>
        <v>0</v>
      </c>
      <c r="Z77" s="194"/>
      <c r="AA77" s="194"/>
      <c r="AB77" s="194"/>
      <c r="AC77" s="194"/>
      <c r="AD77" s="194"/>
      <c r="AE77" s="194"/>
      <c r="AF77" s="194"/>
      <c r="AG77" s="194"/>
      <c r="AH77" s="194"/>
      <c r="AI77" s="194"/>
      <c r="AJ77" s="194"/>
      <c r="AK77" s="194"/>
      <c r="AL77" s="181"/>
      <c r="AM77" s="302"/>
      <c r="AQ77" s="638" t="s">
        <v>1055</v>
      </c>
      <c r="AR77" s="409">
        <f>+VALUE(RIGHT($G$52,3))</f>
        <v>2</v>
      </c>
      <c r="AS77" s="520" t="s">
        <v>241</v>
      </c>
      <c r="AT77" s="3">
        <f>+IF(OR(W74=0,W74=1),1,W74)</f>
        <v>1</v>
      </c>
      <c r="AW77" s="10" t="e">
        <f>IF(AR77=2,ROUND(VLOOKUP(AR76,許容応力!$B$6:$K$22,7)*1.1/3*100,0),ROUND(VLOOKUP(AR76,許容応力!$B$6:$K$22,7)*1.1/3*1.3*100,0))</f>
        <v>#VALUE!</v>
      </c>
      <c r="AX77" s="63" t="e">
        <f>ROUND(VLOOKUP(AR76,許容応力!$B$6:$K$22,7)*100*2/3*0.8,0)</f>
        <v>#VALUE!</v>
      </c>
      <c r="AY77" s="10" t="e">
        <f>IF(AR77=2,ROUND(VLOOKUP(AR76,許容応力!$B$6:$K$22,8)*1.1/3*100,0),ROUND(VLOOKUP(AR76,許容応力!$B$6:$K$22,8)*1.1/3*1.3*100,0))</f>
        <v>#VALUE!</v>
      </c>
      <c r="AZ77" s="63" t="e">
        <f>ROUND(VLOOKUP(AR76,許容応力!$B$6:$K$22,8)*100*2/3*0.8,0)</f>
        <v>#VALUE!</v>
      </c>
      <c r="BA77" s="10" t="e">
        <f>IF(AR77=2,ROUND(VLOOKUP(AR76,許容応力!$B$6:$K$22,9)*1.1/3*100,0),ROUND(VLOOKUP(AR76,許容応力!$B$6:$K$22,9)*1.1/3*1.3*100,0))</f>
        <v>#VALUE!</v>
      </c>
      <c r="BB77" s="63" t="e">
        <f>ROUND(VLOOKUP(AR76,許容応力!$B$6:$K$22,9)*100*2/3*0.8,0)</f>
        <v>#VALUE!</v>
      </c>
      <c r="BC77" s="63">
        <f>IF(AR77=2,400,200)</f>
        <v>400</v>
      </c>
      <c r="BD77" s="63">
        <f>ROUND(AW73/BC77,2)</f>
        <v>0</v>
      </c>
      <c r="BE77" s="3" t="e">
        <f>ROUND(($AY75+CB75+DA76)/$BK77,1)</f>
        <v>#DIV/0!</v>
      </c>
      <c r="BF77" s="3" t="e">
        <f>ROUND(($CT74)/$BL77,2)</f>
        <v>#VALUE!</v>
      </c>
      <c r="BG77" s="63" t="e">
        <f>ROUND((BC75+CB76+DA77)/AY77,1)</f>
        <v>#DIV/0!</v>
      </c>
      <c r="BH77" s="3" t="e">
        <f>ROUND(($BA75+CB75+DB76)/$BK77,1)</f>
        <v>#DIV/0!</v>
      </c>
      <c r="BI77" s="3" t="e">
        <f>ROUNDDOWN(($CV74)/$BL77,1)</f>
        <v>#VALUE!</v>
      </c>
      <c r="BJ77" s="63" t="e">
        <f>ROUND((BE75+CB76+DB77)/AZ77,1)</f>
        <v>#DIV/0!</v>
      </c>
      <c r="BK77" s="63">
        <f>ROUNDDOWN(M73/10*POWER(O73/10,2)/6*IF(OR(W73=0,W73=1),1,W73),0)</f>
        <v>0</v>
      </c>
      <c r="BL77" s="63">
        <f>ROUNDDOWN(M73/10*POWER(O73/10,3)/12*IF(OR(W73=0,W73=1),1,W73),0)</f>
        <v>0</v>
      </c>
      <c r="BM77" s="63" t="e">
        <f>ROUND(BC75/(BA77*AH73),1)</f>
        <v>#DIV/0!</v>
      </c>
      <c r="BN77" s="63" t="e">
        <f>ROUND(BE75/(BB77*AH73),1)</f>
        <v>#DIV/0!</v>
      </c>
      <c r="CD77" s="803" t="s">
        <v>292</v>
      </c>
      <c r="CE77" s="3" t="e">
        <f>ROUND(M73/10*POWER(CE75,3)/12,0)</f>
        <v>#N/A</v>
      </c>
      <c r="CZ77" s="3" t="s">
        <v>1018</v>
      </c>
      <c r="DA77" s="3">
        <f>+DA74*M78*100/2</f>
        <v>0</v>
      </c>
      <c r="DB77" s="3" t="e">
        <f>+DB74*M78*100/2</f>
        <v>#VALUE!</v>
      </c>
      <c r="DE77" s="3" t="e">
        <f t="shared" ref="DE77:DJ77" si="23">+DE76</f>
        <v>#N/A</v>
      </c>
      <c r="DF77" s="3" t="e">
        <f t="shared" si="23"/>
        <v>#N/A</v>
      </c>
      <c r="DG77" s="3" t="e">
        <f t="shared" si="23"/>
        <v>#N/A</v>
      </c>
      <c r="DH77" s="3" t="e">
        <f t="shared" si="23"/>
        <v>#N/A</v>
      </c>
      <c r="DI77" s="3" t="e">
        <f t="shared" si="23"/>
        <v>#N/A</v>
      </c>
      <c r="DJ77" s="3" t="e">
        <f t="shared" si="23"/>
        <v>#N/A</v>
      </c>
    </row>
    <row r="78" spans="2:117" x14ac:dyDescent="0.15">
      <c r="B78" s="1650"/>
      <c r="C78" s="1410"/>
      <c r="D78" s="1322"/>
      <c r="E78" s="1211"/>
      <c r="F78" s="1028"/>
      <c r="G78" s="1028"/>
      <c r="H78" s="440">
        <f>ROUND((F78+G78)/2,2)</f>
        <v>0</v>
      </c>
      <c r="I78" s="1410"/>
      <c r="J78" s="1028"/>
      <c r="K78" s="476"/>
      <c r="L78" s="1028"/>
      <c r="M78" s="471">
        <f>SUM(J78:L78)</f>
        <v>0</v>
      </c>
      <c r="N78" s="440">
        <f>+M78*100</f>
        <v>0</v>
      </c>
      <c r="O78" s="302"/>
      <c r="P78" s="302"/>
      <c r="Q78" s="302"/>
      <c r="R78" s="302"/>
      <c r="S78" s="302"/>
      <c r="T78" s="302"/>
      <c r="U78" s="302"/>
      <c r="V78" s="302"/>
      <c r="W78" s="302"/>
      <c r="X78" s="1024">
        <f>IF(W77=0,0,+P169)</f>
        <v>0</v>
      </c>
      <c r="Y78" s="302"/>
      <c r="Z78" s="302"/>
      <c r="AA78" s="302"/>
      <c r="AB78" s="302"/>
      <c r="AC78" s="302"/>
      <c r="AD78" s="302"/>
      <c r="AE78" s="302"/>
      <c r="AF78" s="302"/>
      <c r="AG78" s="302"/>
      <c r="AH78" s="302"/>
      <c r="AI78" s="302"/>
      <c r="AJ78" s="302"/>
      <c r="AK78" s="302"/>
      <c r="AL78" s="181"/>
      <c r="AM78" s="302"/>
      <c r="AW78" s="3" t="e">
        <f>+AW77</f>
        <v>#VALUE!</v>
      </c>
      <c r="AX78" s="3" t="e">
        <f t="shared" ref="AX78:BD78" si="24">+AX77</f>
        <v>#VALUE!</v>
      </c>
      <c r="AY78" s="3" t="e">
        <f t="shared" si="24"/>
        <v>#VALUE!</v>
      </c>
      <c r="AZ78" s="3" t="e">
        <f t="shared" si="24"/>
        <v>#VALUE!</v>
      </c>
      <c r="BA78" s="3" t="e">
        <f t="shared" si="24"/>
        <v>#VALUE!</v>
      </c>
      <c r="BB78" s="3" t="e">
        <f t="shared" si="24"/>
        <v>#VALUE!</v>
      </c>
      <c r="BC78" s="3">
        <f t="shared" si="24"/>
        <v>400</v>
      </c>
      <c r="BD78" s="3">
        <f t="shared" si="24"/>
        <v>0</v>
      </c>
      <c r="BE78" s="3" t="e">
        <f>ROUND((CB75+$AY75+DA76)/$BK78,1)</f>
        <v>#N/A</v>
      </c>
      <c r="BF78" s="3" t="e">
        <f>ROUND(($CT75)/$BL78,2)</f>
        <v>#VALUE!</v>
      </c>
      <c r="BG78" s="63" t="e">
        <f>ROUND((BC75+CB76+DA77)/AY77,1)</f>
        <v>#DIV/0!</v>
      </c>
      <c r="BH78" s="3" t="e">
        <f>ROUND(($BA75+CB75+DB76)/$BK78,1)</f>
        <v>#DIV/0!</v>
      </c>
      <c r="BI78" s="3" t="e">
        <f>ROUND(($CV75)/$BL78,2)</f>
        <v>#VALUE!</v>
      </c>
      <c r="BJ78" s="63" t="e">
        <f>ROUND((BE75+CB76+DB77)/AZ77,1)</f>
        <v>#DIV/0!</v>
      </c>
      <c r="BK78" s="63">
        <f>IF(O74&lt;180,ROUND((O74/10-3)*POWER(O74/10-3,2)/6*IF(EX74=0,1,W74),0),ROUND((O74/10-5)*POWER((O74/10-3),2)/6*IF(W74=0,1,W74),0))</f>
        <v>-5</v>
      </c>
      <c r="BL78" s="63">
        <f>ROUND(IF(O74&lt;180,(O74/10-3)*POWER((O74/10-3),3)/12*IF(W74=0,1,W74),(O74/10-5))*POWER((O74/10-3),3)/12*IF(W74=0,1,W74),0)</f>
        <v>-15</v>
      </c>
      <c r="BM78" s="63" t="e">
        <f>+BM77</f>
        <v>#DIV/0!</v>
      </c>
      <c r="BN78" s="63" t="e">
        <f>+BN77</f>
        <v>#DIV/0!</v>
      </c>
    </row>
    <row r="79" spans="2:117" ht="15" thickBot="1" x14ac:dyDescent="0.2">
      <c r="B79" s="1651"/>
      <c r="C79" s="1411" t="s">
        <v>1002</v>
      </c>
      <c r="D79" s="1412"/>
      <c r="E79" s="1150"/>
      <c r="F79" s="472" t="s">
        <v>1003</v>
      </c>
      <c r="G79" s="1136"/>
      <c r="H79" s="459" t="s">
        <v>1004</v>
      </c>
      <c r="I79" s="460"/>
      <c r="J79" s="466"/>
      <c r="K79" s="473"/>
      <c r="L79" s="473"/>
      <c r="M79" s="473"/>
      <c r="N79" s="473"/>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175"/>
      <c r="AM79" s="302"/>
    </row>
    <row r="80" spans="2:117" ht="15" thickBot="1" x14ac:dyDescent="0.2">
      <c r="B80" s="1587" t="s">
        <v>1075</v>
      </c>
      <c r="C80" s="1680"/>
      <c r="D80" s="1681"/>
      <c r="E80" s="417" t="s">
        <v>184</v>
      </c>
      <c r="F80" s="670"/>
      <c r="G80" s="1034" t="s">
        <v>1061</v>
      </c>
      <c r="H80" s="1034" t="s">
        <v>1063</v>
      </c>
      <c r="I80" s="1034" t="s">
        <v>965</v>
      </c>
      <c r="J80" s="1034" t="s">
        <v>966</v>
      </c>
      <c r="K80" s="1034"/>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181"/>
      <c r="AM80" s="302"/>
      <c r="CA80" s="3">
        <v>1</v>
      </c>
      <c r="CB80" s="3">
        <v>2</v>
      </c>
      <c r="CC80" s="3">
        <v>3</v>
      </c>
      <c r="CD80" s="3">
        <v>4</v>
      </c>
      <c r="CE80" s="3">
        <v>5</v>
      </c>
      <c r="CF80" s="3">
        <v>6</v>
      </c>
      <c r="DK80" s="3" t="s">
        <v>1223</v>
      </c>
      <c r="DL80" s="3" t="s">
        <v>1224</v>
      </c>
    </row>
    <row r="81" spans="2:117" ht="14.25" customHeight="1" x14ac:dyDescent="0.15">
      <c r="B81" s="1650"/>
      <c r="C81" s="1676"/>
      <c r="D81" s="449"/>
      <c r="E81" s="1677"/>
      <c r="F81" s="1678" t="str">
        <f>IF(E81=0,"",ROUND(SQRT(COS(AV81*1.5*PI()/180)),3))</f>
        <v/>
      </c>
      <c r="G81" s="474"/>
      <c r="H81" s="474"/>
      <c r="I81" s="802"/>
      <c r="J81" s="802"/>
      <c r="K81" s="1033"/>
      <c r="L81" s="1575"/>
      <c r="M81" s="1654"/>
      <c r="N81" s="1229">
        <f>+IF(M81=0,0,"×")</f>
        <v>0</v>
      </c>
      <c r="O81" s="1295">
        <f>IF(M81=0,0,CN82)</f>
        <v>0</v>
      </c>
      <c r="P81" s="1296" t="str">
        <f>IF(X81=+"","",IF(AND(X81&lt;=1,Y81&lt;=1,AA81&lt;=1,AB81&lt;=1),"OK!","NO!"))</f>
        <v/>
      </c>
      <c r="Q81" s="1296">
        <f>IF(U81=0,0,IF(AND(S81=0,W85=0),0,IF(IF(Z81&gt;=AC81,Z81,AC81)&lt;=1,"OK!","NO!")))</f>
        <v>0</v>
      </c>
      <c r="R81" s="1659"/>
      <c r="S81" s="1269"/>
      <c r="T81" s="1271">
        <f>IF(S81=0,0,BU81)</f>
        <v>0</v>
      </c>
      <c r="U81" s="1253">
        <f>IF(AND(T85=0,S81=0),0,+IF(AND(VALUE(RIGHT(R81,4))=2,T85&gt;0),0,IF(AND(VALUE(RIGHT(R81,4))=1,S81&gt;0),0,DM81)))</f>
        <v>0</v>
      </c>
      <c r="V81" s="1257">
        <f>IF(S81=0,0,IF(BG85&gt;=BJ85,BG85,BJ85))</f>
        <v>0</v>
      </c>
      <c r="W81" s="1652"/>
      <c r="X81" s="1257" t="str">
        <f>IF(O81=0,"",ROUNDUP($BE85/$AW85,2))</f>
        <v/>
      </c>
      <c r="Y81" s="1257" t="str">
        <f>IF(O81=0,"",ROUND($BF85/$BD85,2))</f>
        <v/>
      </c>
      <c r="Z81" s="1257">
        <f>IF(L81=0,0,IF(AND(S81=0,W85=0),0,IF(S81=0,ROUNDUP((BC83+CB84)/(AY85*$Q$181*AR11*Y85/100),2),+BV81)))</f>
        <v>0</v>
      </c>
      <c r="AA81" s="1257" t="str">
        <f>IF(O81=0,"",ROUNDUP($BH85/$AX85,2))</f>
        <v/>
      </c>
      <c r="AB81" s="1257" t="str">
        <f>IF(O81=0,"",ROUNDUP($BI85/$BD85,2))</f>
        <v/>
      </c>
      <c r="AC81" s="1257">
        <f>IF(L81=0,0,IF(AND(S81=0,W85=0),0,IF(S81=0,ROUNDUP((BE83+CB84)/(AZ85*$Q$181*AR11*Y85/100),2),+BW81)))</f>
        <v>0</v>
      </c>
      <c r="AD81" s="162"/>
      <c r="AE81" s="447"/>
      <c r="AF81" s="430"/>
      <c r="AG81" s="428"/>
      <c r="AH81" s="1253">
        <f>IF(AD81=0,0,ROUND(AD81*AE81+AF81*AG81+AD82*AE82+AF82*AG82,2))</f>
        <v>0</v>
      </c>
      <c r="AI81" s="1253">
        <f>IF(AD81=0,0,IF(AN81=1,AM81/(AR11*Y85),AM81))</f>
        <v>0</v>
      </c>
      <c r="AJ81" s="1255" t="str">
        <f>IF(AI81=0,"",IF(AI81&lt;=1,"OK!","NO!"))</f>
        <v/>
      </c>
      <c r="AK81" s="191">
        <f>+IF(J86=0,0,"1/")</f>
        <v>0</v>
      </c>
      <c r="AL81" s="192">
        <f>IF(J86=0,0,+BC85)</f>
        <v>0</v>
      </c>
      <c r="AM81" s="3" t="e">
        <f>+IF(BM85&gt;=BN85,BM85+DK82,BN85+DL82)</f>
        <v>#DIV/0!</v>
      </c>
      <c r="AN81" s="3">
        <f>IF(Q85=0,0,+VALUE(RIGHT(Q85,4)))</f>
        <v>0</v>
      </c>
      <c r="AQ81" s="479" t="s">
        <v>877</v>
      </c>
      <c r="AR81" s="632">
        <f>+準備!G57+AT81</f>
        <v>850</v>
      </c>
      <c r="AS81" s="632" t="e">
        <f>+準備!G57+AU81</f>
        <v>#VALUE!</v>
      </c>
      <c r="AT81" s="63">
        <f>ROUNDUP(IF(VALUE(RIGHT($G$52,3))=1,AU81*0.7,0),0)</f>
        <v>0</v>
      </c>
      <c r="AU81" s="63" t="e">
        <f>ROUNDUP(IF(VALUE(RIGHT($G$52,4))=1,$M$52*30*F81*100,$M$52*20*F81*100),0)</f>
        <v>#VALUE!</v>
      </c>
      <c r="AV81" s="69">
        <f>ROUND(ATAN(E81/10)*180/PI(),4)</f>
        <v>0</v>
      </c>
      <c r="AW81" s="3">
        <f>+N86</f>
        <v>0</v>
      </c>
      <c r="AX81" s="3" t="s">
        <v>1033</v>
      </c>
      <c r="AY81" s="3" t="e">
        <f>ROUND($AU82*$AU83/$AW81*$AR82,1)</f>
        <v>#DIV/0!</v>
      </c>
      <c r="AZ81" s="641">
        <f>+AU83</f>
        <v>0</v>
      </c>
      <c r="BA81" s="640">
        <f>+AW82</f>
        <v>0</v>
      </c>
      <c r="BB81" s="3" t="e">
        <f>ROUND($AY81*$BA81/$AZ81+$AY82,0)</f>
        <v>#DIV/0!</v>
      </c>
      <c r="BC81" s="3" t="s">
        <v>1035</v>
      </c>
      <c r="BD81" s="3" t="e">
        <f>ROUND($AU82*$AU83/$AW81*$AS82,1)</f>
        <v>#DIV/0!</v>
      </c>
      <c r="BE81" s="3" t="e">
        <f>ROUND($BD81*$BA81/$AZ81+$BD82,0)</f>
        <v>#DIV/0!</v>
      </c>
      <c r="BF81" s="3" t="s">
        <v>1039</v>
      </c>
      <c r="BG81" s="3" t="e">
        <f>ROUND($AU83/$AW81*$AR82,0)</f>
        <v>#DIV/0!</v>
      </c>
      <c r="BH81" s="3" t="e">
        <f>ROUND($AU82/$AW81*$AR82,0)</f>
        <v>#DIV/0!</v>
      </c>
      <c r="BI81" s="3" t="s">
        <v>1043</v>
      </c>
      <c r="BJ81" s="3" t="e">
        <f>ROUND($AU83/$AW81*$AS82,0)</f>
        <v>#DIV/0!</v>
      </c>
      <c r="BK81" s="3" t="e">
        <f>ROUND($AU82/$AW81*$AS82,0)</f>
        <v>#DIV/0!</v>
      </c>
      <c r="BL81" s="3" t="s">
        <v>1057</v>
      </c>
      <c r="BM81" s="3">
        <f>ROUND(POWER($AW81,2)-POWER($AU83,2),0)</f>
        <v>0</v>
      </c>
      <c r="BN81" s="3">
        <f>ROUND(POWER($AW81,2)-POWER($AW83,2),0)</f>
        <v>0</v>
      </c>
      <c r="BO81" s="3">
        <f>+SQRT(POWER(BM81,3))</f>
        <v>0</v>
      </c>
      <c r="BP81" s="3">
        <f>+SQRT(POWER(BN81,3))</f>
        <v>0</v>
      </c>
      <c r="BQ81" s="63" t="e">
        <f>ROUNDUP($AR82*$AU83*$BO81/(9*SQRT(3)*$AT84*$AW81),2)</f>
        <v>#VALUE!</v>
      </c>
      <c r="BR81" s="63" t="e">
        <f>ROUNDUP($AR83*$AW83*$BP81/(9*SQRT(3)*$AT84*$AW81),2)</f>
        <v>#VALUE!</v>
      </c>
      <c r="BS81" s="63" t="e">
        <f>ROUNDUP($AS82*$AU83*$BO81/(9*SQRT(3)*$AT84*$AW81),2)</f>
        <v>#VALUE!</v>
      </c>
      <c r="BT81" s="63" t="e">
        <f>ROUNDUP($AS83*$AW83*$BP81/(9*SQRT(3)*$AT84*$AW81),2)</f>
        <v>#VALUE!</v>
      </c>
      <c r="BU81" s="9">
        <f>IF(O81=0,0,ROUNDUP(SQRT((V81*M81/10*O81/10)/(S81*S81)),2))</f>
        <v>0</v>
      </c>
      <c r="BV81" s="3" t="e">
        <f>ROUND((+BC83+CB84+DA85)/(AY85*U81),2)</f>
        <v>#DIV/0!</v>
      </c>
      <c r="BW81" s="3" t="e">
        <f>ROUND((+BE83+CB84+DB85)/(AZ85*U81),2)</f>
        <v>#DIV/0!</v>
      </c>
      <c r="BX81" s="393"/>
      <c r="BY81" s="803" t="s">
        <v>269</v>
      </c>
      <c r="BZ81" s="803" t="s">
        <v>269</v>
      </c>
      <c r="CA81" s="632">
        <f>+準備!$G$20/100</f>
        <v>4.5</v>
      </c>
      <c r="CB81" s="632">
        <f>+準備!$G$24/100</f>
        <v>11</v>
      </c>
      <c r="CC81" s="632">
        <f>+準備!$G$28/100</f>
        <v>14</v>
      </c>
      <c r="CD81" s="632">
        <f>+準備!$G$32/100</f>
        <v>17.5</v>
      </c>
      <c r="CE81" s="632">
        <f>+準備!$G$36/100</f>
        <v>17.5</v>
      </c>
      <c r="CF81" s="632">
        <f>+準備!$G$38/100</f>
        <v>4</v>
      </c>
      <c r="CN81" s="3" t="s">
        <v>998</v>
      </c>
      <c r="CO81" s="3" t="s">
        <v>995</v>
      </c>
      <c r="CP81" s="3" t="s">
        <v>189</v>
      </c>
      <c r="CQ81" s="3" t="s">
        <v>996</v>
      </c>
      <c r="CR81" s="3" t="s">
        <v>189</v>
      </c>
      <c r="CS81" s="3" t="s">
        <v>1059</v>
      </c>
      <c r="CT81" s="3" t="s">
        <v>189</v>
      </c>
      <c r="CU81" s="3" t="s">
        <v>996</v>
      </c>
      <c r="CV81" s="2" t="s">
        <v>189</v>
      </c>
      <c r="CW81" s="548" t="s">
        <v>995</v>
      </c>
      <c r="CX81" s="548" t="s">
        <v>189</v>
      </c>
      <c r="CY81" s="548" t="s">
        <v>996</v>
      </c>
      <c r="CZ81" s="548" t="s">
        <v>189</v>
      </c>
      <c r="DA81" s="803" t="s">
        <v>269</v>
      </c>
      <c r="DB81" s="803" t="s">
        <v>269</v>
      </c>
      <c r="DC81" s="3" t="s">
        <v>189</v>
      </c>
      <c r="DE81" s="3" t="e">
        <f>ROUND(($CB83+DA84)/$CE84,1)</f>
        <v>#N/A</v>
      </c>
      <c r="DF81" s="3" t="e">
        <f>ROUND(($CC84+DC83)/$CE85,2)</f>
        <v>#N/A</v>
      </c>
      <c r="DG81" s="3" t="e">
        <f>ROUND(($CB84+$DA85)/$U81,1)</f>
        <v>#N/A</v>
      </c>
      <c r="DH81" s="3" t="e">
        <f>ROUND(($CB83+DB84)/$CE84,1)</f>
        <v>#N/A</v>
      </c>
      <c r="DI81" s="3" t="e">
        <f>ROUND(($CC84+DD83)/$CE85,2)</f>
        <v>#N/A</v>
      </c>
      <c r="DJ81" s="3" t="e">
        <f>ROUND(($CB84+DB85)/$U81,1)</f>
        <v>#N/A</v>
      </c>
      <c r="DK81" s="3" t="e">
        <f>ROUND(VLOOKUP(VALUE(RIGHT($L81,4)),許容応力!$B$6:$K$22,9)*1.1/3*100,0)</f>
        <v>#VALUE!</v>
      </c>
      <c r="DL81" s="3" t="e">
        <f>ROUND(VLOOKUP(VALUE(RIGHT($L81,4)),許容応力!$B$6:$K$22,9)*2/3*0.8*100,0)</f>
        <v>#VALUE!</v>
      </c>
      <c r="DM81" s="1253">
        <f>IF(AND(S81=0,W85=0),0,IF(T81=0,Q$181*AR11*Y85/100,ROUND(POWER(S81*T81,2)/(M81/10*O81/10),2)))</f>
        <v>0</v>
      </c>
    </row>
    <row r="82" spans="2:117" x14ac:dyDescent="0.15">
      <c r="B82" s="1650"/>
      <c r="C82" s="1676"/>
      <c r="D82" s="439"/>
      <c r="E82" s="1677"/>
      <c r="F82" s="1555"/>
      <c r="G82" s="1034" t="s">
        <v>1064</v>
      </c>
      <c r="H82" s="1034" t="s">
        <v>1062</v>
      </c>
      <c r="I82" s="1033"/>
      <c r="J82" s="1034" t="s">
        <v>966</v>
      </c>
      <c r="K82" s="1034" t="s">
        <v>965</v>
      </c>
      <c r="L82" s="1478"/>
      <c r="M82" s="1653"/>
      <c r="N82" s="1285"/>
      <c r="O82" s="1258"/>
      <c r="P82" s="1258"/>
      <c r="Q82" s="1297"/>
      <c r="R82" s="1660"/>
      <c r="S82" s="1270"/>
      <c r="T82" s="1254"/>
      <c r="U82" s="1272"/>
      <c r="V82" s="1254"/>
      <c r="W82" s="1653"/>
      <c r="X82" s="1258"/>
      <c r="Y82" s="1258"/>
      <c r="Z82" s="1254"/>
      <c r="AA82" s="1258"/>
      <c r="AB82" s="1258"/>
      <c r="AC82" s="1254"/>
      <c r="AD82" s="160"/>
      <c r="AE82" s="432"/>
      <c r="AF82" s="433"/>
      <c r="AG82" s="434"/>
      <c r="AH82" s="1254"/>
      <c r="AI82" s="1254"/>
      <c r="AJ82" s="1673"/>
      <c r="AK82" s="184">
        <f>+IF(G86=0,0,"1/")</f>
        <v>0</v>
      </c>
      <c r="AL82" s="185">
        <f>IF(J86=0,0,+BC86)</f>
        <v>0</v>
      </c>
      <c r="AM82" s="597"/>
      <c r="AN82" s="407"/>
      <c r="AQ82" s="638" t="s">
        <v>1023</v>
      </c>
      <c r="AR82" s="3">
        <f>ROUND(AR81*(G81+H81)/2*(I81+J81)/2,0)</f>
        <v>0</v>
      </c>
      <c r="AS82" s="3" t="e">
        <f>ROUND(AS81*(G81+H81)/2*(I81+J81)/2,0)</f>
        <v>#VALUE!</v>
      </c>
      <c r="AT82" s="3" t="s">
        <v>1029</v>
      </c>
      <c r="AU82" s="640">
        <f>+J86*100</f>
        <v>0</v>
      </c>
      <c r="AV82" s="3" t="s">
        <v>1031</v>
      </c>
      <c r="AW82" s="640">
        <f>+L86*100</f>
        <v>0</v>
      </c>
      <c r="AX82" s="3" t="s">
        <v>1034</v>
      </c>
      <c r="AY82" s="3" t="e">
        <f>ROUND($AW82*$AW83/$AW81*$AR83,1)</f>
        <v>#DIV/0!</v>
      </c>
      <c r="AZ82" s="641">
        <f>+AW83</f>
        <v>0</v>
      </c>
      <c r="BA82" s="640">
        <f>+AU82</f>
        <v>0</v>
      </c>
      <c r="BB82" s="3" t="e">
        <f>ROUND($AY82*$BA82/$AZ82+$AY81,0)</f>
        <v>#DIV/0!</v>
      </c>
      <c r="BC82" s="3" t="s">
        <v>1036</v>
      </c>
      <c r="BD82" s="3" t="e">
        <f>ROUND($AW82*$AW83/$AW81*$AS83,1)</f>
        <v>#DIV/0!</v>
      </c>
      <c r="BE82" s="3" t="e">
        <f>ROUND($BD82*$BA82/$AZ82+$BD81,0)</f>
        <v>#DIV/0!</v>
      </c>
      <c r="BF82" s="3" t="s">
        <v>1040</v>
      </c>
      <c r="BG82" s="3" t="e">
        <f>ROUND($AW82/$AW81*$AR83,0)</f>
        <v>#DIV/0!</v>
      </c>
      <c r="BH82" s="3" t="e">
        <f>ROUND($AW83/$AW81*$AR83,0)</f>
        <v>#DIV/0!</v>
      </c>
      <c r="BI82" s="3" t="s">
        <v>1044</v>
      </c>
      <c r="BJ82" s="3" t="e">
        <f>ROUND($AW82/$AW81*$AS83,0)</f>
        <v>#DIV/0!</v>
      </c>
      <c r="BK82" s="3" t="e">
        <f>ROUND($AW83/$AW81*$AS83,0)</f>
        <v>#DIV/0!</v>
      </c>
      <c r="BM82" s="3">
        <f>ROUND(POWER($AW81,2)-POWER($AW82,2),0)</f>
        <v>0</v>
      </c>
      <c r="BN82" s="3">
        <f>ROUND(POWER($AW81,2)-POWER($AW83,2),0)</f>
        <v>0</v>
      </c>
      <c r="BO82" s="3">
        <f>+SQRT(POWER(BM82,3))</f>
        <v>0</v>
      </c>
      <c r="BP82" s="3">
        <f>+SQRT(POWER(BN82,3))</f>
        <v>0</v>
      </c>
      <c r="BQ82" s="63" t="e">
        <f>ROUNDUP($BR81*$AU82/$AW83,2)</f>
        <v>#VALUE!</v>
      </c>
      <c r="BR82" s="63" t="e">
        <f>ROUNDUP($BQ81*$AW82/$AU83,2)</f>
        <v>#VALUE!</v>
      </c>
      <c r="BS82" s="63" t="e">
        <f>ROUNDUP($BT81*$AU82/$AW83,2)</f>
        <v>#VALUE!</v>
      </c>
      <c r="BT82" s="63" t="e">
        <f>ROUNDUP($BS81*$AW82/$AU83,2)</f>
        <v>#VALUE!</v>
      </c>
      <c r="BU82" s="9">
        <f>IF(O82=0,0,ROUNDUP(SQRT(IF(R82=0,(V82*(O82/10-6)*(O82/10-3)),(V82*(R82/10-6)*(R82/10-3)))/(S82*S82)),2))</f>
        <v>0</v>
      </c>
      <c r="BV82" s="3" t="e">
        <f>ROUND((+BC83+CB84+DA85)/(AY86*S82*T82),2)</f>
        <v>#DIV/0!</v>
      </c>
      <c r="BW82" s="3" t="e">
        <f>ROUND((+BE83+CB84+DB85)/(AZ86*S82*T82),2)</f>
        <v>#DIV/0!</v>
      </c>
      <c r="BX82" s="78"/>
      <c r="BY82" s="87" t="e">
        <f>IF(OR(BV83=0,BV83=1),0,ROUNDUP((準備!$G$60/100+準備!$D$48/100)*((F86+G86)/2*100)/200,2))</f>
        <v>#N/A</v>
      </c>
      <c r="BZ82" s="87" t="e">
        <f>+BY82</f>
        <v>#N/A</v>
      </c>
      <c r="CA82" s="3">
        <f t="shared" ref="CA82:CF82" si="25">ROUND(CA81*$I87,2)</f>
        <v>0</v>
      </c>
      <c r="CB82" s="3">
        <f t="shared" si="25"/>
        <v>0</v>
      </c>
      <c r="CC82" s="3">
        <f t="shared" si="25"/>
        <v>0</v>
      </c>
      <c r="CD82" s="3">
        <f t="shared" si="25"/>
        <v>0</v>
      </c>
      <c r="CE82" s="3">
        <f t="shared" si="25"/>
        <v>0</v>
      </c>
      <c r="CF82" s="3">
        <f t="shared" si="25"/>
        <v>0</v>
      </c>
      <c r="CJ82" s="63" t="e">
        <f>+ROUNDUP(CO82/3,-1)*3</f>
        <v>#DIV/0!</v>
      </c>
      <c r="CK82" s="63" t="e">
        <f>+ROUNDUP(CP82/3,-1)*3</f>
        <v>#VALUE!</v>
      </c>
      <c r="CL82" s="63" t="e">
        <f>+ROUNDUP(CQ82/3,-1)*3</f>
        <v>#DIV/0!</v>
      </c>
      <c r="CM82" s="63" t="e">
        <f>+ROUNDUP(CR82/3,-1)*3</f>
        <v>#VALUE!</v>
      </c>
      <c r="CN82" s="649" t="e">
        <f>MAX(CJ82:CM82)</f>
        <v>#DIV/0!</v>
      </c>
      <c r="CO82" s="63" t="e">
        <f>ROUNDUP(SQRT(ROUND($CS82/$AW85*6/($M81/10)/IF($W81=0,1,$W81),1))*10,0)</f>
        <v>#DIV/0!</v>
      </c>
      <c r="CP82" s="3" t="e">
        <f>POWER(ROUNDDOWN($CT82/($M81/10)*12,0)/IF($W81=0,1,$W81)/$BD85,1/3)*10</f>
        <v>#VALUE!</v>
      </c>
      <c r="CQ82" s="63" t="e">
        <f>ROUNDUP(SQRT(ROUND($CU82/$AX85*6/($M81/10)/IF($W81=0,1,$W81),1))*10,0)</f>
        <v>#DIV/0!</v>
      </c>
      <c r="CR82" s="3" t="e">
        <f>POWER(ROUNDDOWN($CV82/($M81/10)*12,0)/IF($W81=0,1,$W81)/$BD85,1/3)*10</f>
        <v>#VALUE!</v>
      </c>
      <c r="CS82" s="63" t="e">
        <f>+AY83+CB83+DA84</f>
        <v>#DIV/0!</v>
      </c>
      <c r="CT82" s="63" t="e">
        <f>+IF(BQ83&gt;=BR83,BQ83+CC84+DC83,BR83+CC84+DC83)</f>
        <v>#VALUE!</v>
      </c>
      <c r="CU82" s="63" t="e">
        <f>+BA83+CB83+DB84</f>
        <v>#DIV/0!</v>
      </c>
      <c r="CV82" s="78" t="e">
        <f>+IF(BS83&gt;=BT83,BS83+CC84+DD83,BT83+CC84+DD83)</f>
        <v>#VALUE!</v>
      </c>
      <c r="CW82" s="548" t="e">
        <f>+CO82</f>
        <v>#DIV/0!</v>
      </c>
      <c r="CX82" s="548" t="e">
        <f>+CP82</f>
        <v>#VALUE!</v>
      </c>
      <c r="CY82" s="548" t="e">
        <f>CQ82</f>
        <v>#DIV/0!</v>
      </c>
      <c r="CZ82" s="548" t="e">
        <f>+CR82</f>
        <v>#VALUE!</v>
      </c>
      <c r="DA82" s="87">
        <f>IF(OR($BV83=0,$BV83=1),0,ROUND((準備!$G$6+$AT81)*$G86/200,2))</f>
        <v>0</v>
      </c>
      <c r="DB82" s="87" t="e">
        <f>IF(OR($BV83=0,$BV83=1),0,ROUND((準備!$G$6+$AU81)*$G86/200,2))</f>
        <v>#VALUE!</v>
      </c>
      <c r="DC82" s="3" t="s">
        <v>168</v>
      </c>
      <c r="DD82" s="3" t="s">
        <v>203</v>
      </c>
      <c r="DE82" s="3" t="e">
        <f t="shared" ref="DE82:DJ82" si="26">+DE81</f>
        <v>#N/A</v>
      </c>
      <c r="DF82" s="3" t="e">
        <f t="shared" si="26"/>
        <v>#N/A</v>
      </c>
      <c r="DG82" s="3" t="e">
        <f t="shared" si="26"/>
        <v>#N/A</v>
      </c>
      <c r="DH82" s="3" t="e">
        <f t="shared" si="26"/>
        <v>#N/A</v>
      </c>
      <c r="DI82" s="3" t="e">
        <f t="shared" si="26"/>
        <v>#N/A</v>
      </c>
      <c r="DJ82" s="3" t="e">
        <f t="shared" si="26"/>
        <v>#N/A</v>
      </c>
      <c r="DK82" s="3" t="e">
        <f>ROUND(DA82*M86*100/2/DK81/AH81,2)</f>
        <v>#VALUE!</v>
      </c>
      <c r="DL82" s="3" t="e">
        <f>ROUND(DB82*M86*100/2/DL81/AH81,2)</f>
        <v>#VALUE!</v>
      </c>
      <c r="DM82" s="1254"/>
    </row>
    <row r="83" spans="2:117" x14ac:dyDescent="0.15">
      <c r="B83" s="1650"/>
      <c r="C83" s="1270"/>
      <c r="D83" s="194"/>
      <c r="E83" s="1270"/>
      <c r="F83" s="1254"/>
      <c r="G83" s="1035">
        <f>+H81</f>
        <v>0</v>
      </c>
      <c r="H83" s="475"/>
      <c r="I83" s="1033"/>
      <c r="J83" s="1033">
        <f>+J81</f>
        <v>0</v>
      </c>
      <c r="K83" s="1033">
        <f>+I81</f>
        <v>0</v>
      </c>
      <c r="L83" s="194"/>
      <c r="M83" s="176"/>
      <c r="N83" s="176"/>
      <c r="O83" s="176"/>
      <c r="P83" s="176"/>
      <c r="Q83" s="451"/>
      <c r="R83" s="878"/>
      <c r="S83" s="1307" t="s">
        <v>1154</v>
      </c>
      <c r="T83" s="1308"/>
      <c r="U83" s="1308"/>
      <c r="V83" s="1308"/>
      <c r="W83" s="1308"/>
      <c r="X83" s="1308"/>
      <c r="Y83" s="1621"/>
      <c r="Z83" s="176"/>
      <c r="AA83" s="176"/>
      <c r="AB83" s="176"/>
      <c r="AC83" s="176"/>
      <c r="AD83" s="176"/>
      <c r="AE83" s="176"/>
      <c r="AF83" s="176"/>
      <c r="AG83" s="176"/>
      <c r="AH83" s="176"/>
      <c r="AI83" s="176"/>
      <c r="AJ83" s="176"/>
      <c r="AK83" s="176"/>
      <c r="AL83" s="469"/>
      <c r="AM83" s="302"/>
      <c r="AQ83" s="638" t="s">
        <v>1024</v>
      </c>
      <c r="AR83" s="3">
        <f>ROUND(AR81*(G83+H83)/2*(K83+J83)/2,0)</f>
        <v>0</v>
      </c>
      <c r="AS83" s="3" t="e">
        <f>ROUND(AS81*(G83+H83)/2*(K83+J83)/2,0)</f>
        <v>#VALUE!</v>
      </c>
      <c r="AT83" s="3" t="s">
        <v>1030</v>
      </c>
      <c r="AU83" s="641">
        <f>(+K86+L86)*100</f>
        <v>0</v>
      </c>
      <c r="AV83" s="3" t="s">
        <v>1032</v>
      </c>
      <c r="AW83" s="641">
        <f>(+J86+K86)*100</f>
        <v>0</v>
      </c>
      <c r="AX83" s="3" t="s">
        <v>1037</v>
      </c>
      <c r="AY83" s="548" t="e">
        <f>+IF(BB81&gt;=BB82,BB81,BB82)</f>
        <v>#DIV/0!</v>
      </c>
      <c r="AZ83" s="3" t="s">
        <v>1038</v>
      </c>
      <c r="BA83" s="548" t="e">
        <f>+IF(BE81&gt;=BE82,BE81,BE82)</f>
        <v>#DIV/0!</v>
      </c>
      <c r="BB83" s="3" t="s">
        <v>1041</v>
      </c>
      <c r="BC83" s="548" t="e">
        <f>+IF(BG83&gt;=BH83,BG83,BH83)</f>
        <v>#DIV/0!</v>
      </c>
      <c r="BD83" s="3" t="s">
        <v>1042</v>
      </c>
      <c r="BE83" s="548" t="e">
        <f>+IF(BJ83&gt;=BK83,BJ83,BK83)</f>
        <v>#DIV/0!</v>
      </c>
      <c r="BG83" s="3" t="e">
        <f>SUM(BG81:BG82)</f>
        <v>#DIV/0!</v>
      </c>
      <c r="BH83" s="3" t="e">
        <f>SUM(BH81:BH82)</f>
        <v>#DIV/0!</v>
      </c>
      <c r="BJ83" s="3" t="e">
        <f>SUM(BJ81:BJ82)</f>
        <v>#DIV/0!</v>
      </c>
      <c r="BK83" s="3" t="e">
        <f>SUM(BK81:BK82)</f>
        <v>#DIV/0!</v>
      </c>
      <c r="BM83" s="3">
        <f t="shared" ref="BM83:BT83" si="27">SUM(BM81:BM82)</f>
        <v>0</v>
      </c>
      <c r="BN83" s="3">
        <f t="shared" si="27"/>
        <v>0</v>
      </c>
      <c r="BO83" s="3">
        <f t="shared" si="27"/>
        <v>0</v>
      </c>
      <c r="BP83" s="3">
        <f t="shared" si="27"/>
        <v>0</v>
      </c>
      <c r="BQ83" s="3" t="e">
        <f t="shared" si="27"/>
        <v>#VALUE!</v>
      </c>
      <c r="BR83" s="3" t="e">
        <f t="shared" si="27"/>
        <v>#VALUE!</v>
      </c>
      <c r="BS83" s="3" t="e">
        <f t="shared" si="27"/>
        <v>#VALUE!</v>
      </c>
      <c r="BT83" s="3" t="e">
        <f t="shared" si="27"/>
        <v>#VALUE!</v>
      </c>
      <c r="BU83" s="3" t="s">
        <v>1012</v>
      </c>
      <c r="BV83" s="3">
        <f>IF(D84=0,0,+VALUE(RIGHT(D84,4)))</f>
        <v>2</v>
      </c>
      <c r="BW83" s="3" t="s">
        <v>1003</v>
      </c>
      <c r="BX83" s="3" t="e">
        <f>+VALUE(RIGHT(G87,4))</f>
        <v>#VALUE!</v>
      </c>
      <c r="BY83" s="3">
        <f>IF(OR(BV84=0,BV84=2),0,HLOOKUP(BX83,CA80:CF82,3))</f>
        <v>0</v>
      </c>
      <c r="BZ83" s="3">
        <f>+BY83</f>
        <v>0</v>
      </c>
      <c r="CA83" s="3" t="s">
        <v>1019</v>
      </c>
      <c r="CB83" s="3" t="e">
        <f>BY84*POWER(AW81,2)/8</f>
        <v>#N/A</v>
      </c>
      <c r="CC83" s="3" t="s">
        <v>189</v>
      </c>
      <c r="CD83" s="3" t="s">
        <v>782</v>
      </c>
      <c r="CE83" s="3" t="e">
        <f>ROUNDUP(+SQRT((CB83+DA84)*6/(AW85*M81/10)),0)</f>
        <v>#N/A</v>
      </c>
      <c r="CJ83" s="63" t="e">
        <f>IF(W82=0.8,VLOOKUP(CW83,$AR$397:$AS$442,2),IF(W82=0.9,VLOOKUP(CW83,$AR$350:$AS$395,2),VLOOKUP(CW83,$AR$303:$AS$348,2)))</f>
        <v>#DIV/0!</v>
      </c>
      <c r="CK83" s="63" t="e">
        <f>IF(W82=0.8,VLOOKUP(CX83,$AT$397:$AU$442,2),IF(W82=0.9,VLOOKUP(CX83,$AT$350:$AU$395,2),VLOOKUP(CX83,$AT$303:$AU$348,2)))</f>
        <v>#VALUE!</v>
      </c>
      <c r="CL83" s="63" t="e">
        <f>IF(W82=0.8,VLOOKUP(CY83,$AR$397:$AS$442,2),IF(W82=0.9,VLOOKUP(CY83,$AR$350:$AS$395,2),VLOOKUP(CY83,$AR$303:$AS$348,2)))</f>
        <v>#DIV/0!</v>
      </c>
      <c r="CM83" s="63" t="e">
        <f>IF(W82=0.8,VLOOKUP(CZ83,$AT$397:$AU$442,2),IF(W82=0.9,VLOOKUP(CZ83,$AT$350:$AU$396,2),VLOOKUP(CZ83,$AT$303:$AU$348,2)))</f>
        <v>#VALUE!</v>
      </c>
      <c r="CN83" s="649" t="e">
        <f>MAX(CJ83:CM83)</f>
        <v>#DIV/0!</v>
      </c>
      <c r="CO83" s="63" t="e">
        <f>ROUNDUP(CS83/$AW85/IF(W82=0,1,W82),1)</f>
        <v>#DIV/0!</v>
      </c>
      <c r="CP83" s="63" t="e">
        <f>ROUNDUP($CT83/($BD85*AT85),2)</f>
        <v>#VALUE!</v>
      </c>
      <c r="CQ83" s="63" t="e">
        <f>ROUNDUP(CU83/$AX85/IF(W82=0,1,W82),1)</f>
        <v>#DIV/0!</v>
      </c>
      <c r="CR83" s="63" t="e">
        <f>ROUNDUP($CV83/($BD85*AT85),2)</f>
        <v>#VALUE!</v>
      </c>
      <c r="CS83" s="63" t="e">
        <f>+CS82</f>
        <v>#DIV/0!</v>
      </c>
      <c r="CT83" s="3" t="e">
        <f>+CT82</f>
        <v>#VALUE!</v>
      </c>
      <c r="CU83" s="3" t="e">
        <f>+CU82</f>
        <v>#DIV/0!</v>
      </c>
      <c r="CV83" s="2" t="e">
        <f>+CV82</f>
        <v>#VALUE!</v>
      </c>
      <c r="CW83" s="548" t="e">
        <f>+CO83</f>
        <v>#DIV/0!</v>
      </c>
      <c r="CX83" s="548" t="e">
        <f>+CP83</f>
        <v>#VALUE!</v>
      </c>
      <c r="CY83" s="548" t="e">
        <f>CQ83</f>
        <v>#DIV/0!</v>
      </c>
      <c r="CZ83" s="548" t="e">
        <f>+CR83</f>
        <v>#VALUE!</v>
      </c>
      <c r="DC83" s="3" t="e">
        <f>5*DA82*POWER(N86,4)/(384*AT84)</f>
        <v>#VALUE!</v>
      </c>
      <c r="DD83" s="3" t="e">
        <f>5*DB82*POWER(N86,4)/(384*AT84)</f>
        <v>#VALUE!</v>
      </c>
      <c r="DE83" s="412" t="s">
        <v>1065</v>
      </c>
      <c r="DF83" s="349" t="s">
        <v>1066</v>
      </c>
      <c r="DG83" s="412" t="s">
        <v>1067</v>
      </c>
      <c r="DH83" s="412" t="s">
        <v>1065</v>
      </c>
      <c r="DI83" s="349" t="s">
        <v>1066</v>
      </c>
      <c r="DJ83" s="412" t="s">
        <v>1067</v>
      </c>
    </row>
    <row r="84" spans="2:117" ht="14.25" customHeight="1" x14ac:dyDescent="0.15">
      <c r="B84" s="1650"/>
      <c r="C84" s="1679" t="s">
        <v>980</v>
      </c>
      <c r="D84" s="1403" t="s">
        <v>961</v>
      </c>
      <c r="E84" s="1404"/>
      <c r="F84" s="1407" t="s">
        <v>964</v>
      </c>
      <c r="G84" s="1408"/>
      <c r="H84" s="1669" t="s">
        <v>1025</v>
      </c>
      <c r="I84" s="1679" t="s">
        <v>970</v>
      </c>
      <c r="J84" s="1277" t="s">
        <v>1060</v>
      </c>
      <c r="K84" s="1671"/>
      <c r="L84" s="1671"/>
      <c r="M84" s="1278"/>
      <c r="N84" s="194"/>
      <c r="O84" s="194"/>
      <c r="P84" s="194"/>
      <c r="Q84" s="1342"/>
      <c r="R84" s="1406"/>
      <c r="S84" s="877" t="s">
        <v>1265</v>
      </c>
      <c r="T84" s="877" t="s">
        <v>1266</v>
      </c>
      <c r="U84" s="877" t="s">
        <v>1267</v>
      </c>
      <c r="V84" s="877" t="s">
        <v>1260</v>
      </c>
      <c r="W84" s="877" t="s">
        <v>1268</v>
      </c>
      <c r="X84" s="440" t="s">
        <v>1151</v>
      </c>
      <c r="Y84" s="440" t="s">
        <v>1153</v>
      </c>
      <c r="Z84" s="194"/>
      <c r="AA84" s="194"/>
      <c r="AB84" s="194"/>
      <c r="AC84" s="194"/>
      <c r="AD84" s="194"/>
      <c r="AE84" s="194"/>
      <c r="AF84" s="194"/>
      <c r="AG84" s="194"/>
      <c r="AH84" s="194"/>
      <c r="AI84" s="194"/>
      <c r="AJ84" s="194"/>
      <c r="AK84" s="194"/>
      <c r="AL84" s="181"/>
      <c r="AM84" s="302"/>
      <c r="AQ84" s="3" t="s">
        <v>15</v>
      </c>
      <c r="AR84" s="3" t="e">
        <f>+VALUE(RIGHT(L81,4))</f>
        <v>#VALUE!</v>
      </c>
      <c r="AS84" s="615" t="s">
        <v>880</v>
      </c>
      <c r="AT84" s="642" t="e">
        <f>+VLOOKUP(VALUE(RIGHT(L81,4)),許容応力!$B$6:$K$22,10)*100</f>
        <v>#VALUE!</v>
      </c>
      <c r="AU84" s="615" t="s">
        <v>881</v>
      </c>
      <c r="AV84" s="520">
        <f>+BN83</f>
        <v>0</v>
      </c>
      <c r="AW84" s="3" t="s">
        <v>997</v>
      </c>
      <c r="AX84" s="3" t="s">
        <v>294</v>
      </c>
      <c r="AY84" s="52" t="s">
        <v>498</v>
      </c>
      <c r="AZ84" s="52" t="s">
        <v>499</v>
      </c>
      <c r="BA84" s="52" t="s">
        <v>500</v>
      </c>
      <c r="BB84" s="52" t="s">
        <v>501</v>
      </c>
      <c r="BC84" s="803" t="s">
        <v>295</v>
      </c>
      <c r="BD84" s="803" t="s">
        <v>296</v>
      </c>
      <c r="BE84" s="52" t="s">
        <v>287</v>
      </c>
      <c r="BF84" s="803" t="s">
        <v>288</v>
      </c>
      <c r="BG84" s="52" t="s">
        <v>490</v>
      </c>
      <c r="BH84" s="52" t="s">
        <v>289</v>
      </c>
      <c r="BI84" s="803" t="s">
        <v>290</v>
      </c>
      <c r="BJ84" s="52" t="s">
        <v>493</v>
      </c>
      <c r="BK84" s="803" t="s">
        <v>291</v>
      </c>
      <c r="BL84" s="803" t="s">
        <v>292</v>
      </c>
      <c r="BM84" s="412" t="s">
        <v>1020</v>
      </c>
      <c r="BN84" s="412" t="s">
        <v>1021</v>
      </c>
      <c r="BU84" s="3" t="s">
        <v>1002</v>
      </c>
      <c r="BV84" s="3">
        <f>IF(E87=0,0,+VALUE(RIGHT(E87,4)))</f>
        <v>0</v>
      </c>
      <c r="BX84" s="3" t="s">
        <v>1011</v>
      </c>
      <c r="BY84" s="3" t="e">
        <f>+BY82+BY83</f>
        <v>#N/A</v>
      </c>
      <c r="BZ84" s="3" t="e">
        <f>+BZ82+BZ83</f>
        <v>#N/A</v>
      </c>
      <c r="CA84" s="3" t="s">
        <v>1018</v>
      </c>
      <c r="CB84" s="3" t="e">
        <f>+BY84*AW81/2</f>
        <v>#N/A</v>
      </c>
      <c r="CC84" s="3" t="e">
        <f>5*BY84*POWER(AW81,4)/(384*AT84)</f>
        <v>#N/A</v>
      </c>
      <c r="CD84" s="803" t="s">
        <v>291</v>
      </c>
      <c r="CE84" s="3" t="e">
        <f>ROUND(M81/10*POWER(CE83,2)/6,0)</f>
        <v>#N/A</v>
      </c>
      <c r="CZ84" s="3" t="s">
        <v>1019</v>
      </c>
      <c r="DA84" s="3">
        <f>+DA82*POWER(M86*100,2)/8</f>
        <v>0</v>
      </c>
      <c r="DB84" s="3" t="e">
        <f>+DB82*POWER(M86*100,2)/8</f>
        <v>#VALUE!</v>
      </c>
      <c r="DE84" s="3" t="e">
        <f>ROUND(DE81/AW85,2)</f>
        <v>#N/A</v>
      </c>
      <c r="DF84" s="3" t="e">
        <f>ROUND(DF81/BD85,2)</f>
        <v>#N/A</v>
      </c>
      <c r="DG84" s="3" t="e">
        <f>ROUND(DG81/AY85,2)</f>
        <v>#N/A</v>
      </c>
      <c r="DH84" s="3" t="e">
        <f>ROUND(DH81/AX85,2)</f>
        <v>#N/A</v>
      </c>
      <c r="DI84" s="3" t="e">
        <f>ROUND(DF81/BD85,2)</f>
        <v>#N/A</v>
      </c>
      <c r="DJ84" s="3" t="e">
        <f>ROUND(DG81/AZ85,2)</f>
        <v>#N/A</v>
      </c>
    </row>
    <row r="85" spans="2:117" x14ac:dyDescent="0.15">
      <c r="B85" s="1650"/>
      <c r="C85" s="1409"/>
      <c r="D85" s="1405"/>
      <c r="E85" s="1406"/>
      <c r="F85" s="411" t="s">
        <v>971</v>
      </c>
      <c r="G85" s="591" t="s">
        <v>972</v>
      </c>
      <c r="H85" s="1254"/>
      <c r="I85" s="1409"/>
      <c r="J85" s="586" t="s">
        <v>965</v>
      </c>
      <c r="K85" s="586" t="s">
        <v>1022</v>
      </c>
      <c r="L85" s="586" t="s">
        <v>966</v>
      </c>
      <c r="M85" s="470" t="s">
        <v>1026</v>
      </c>
      <c r="N85" s="194"/>
      <c r="O85" s="194"/>
      <c r="P85" s="194"/>
      <c r="Q85" s="1382"/>
      <c r="R85" s="1406"/>
      <c r="S85" s="1029"/>
      <c r="T85" s="1029"/>
      <c r="U85" s="882">
        <f>+IF(T85=0,0,6)</f>
        <v>0</v>
      </c>
      <c r="V85" s="1029"/>
      <c r="W85" s="1029"/>
      <c r="X85" s="1018">
        <f>IF(W85=0,0,+Q170)</f>
        <v>0</v>
      </c>
      <c r="Y85" s="574">
        <f>IF(W85=0,0,+VLOOKUP(X85,$I$189:$J$194,2))</f>
        <v>0</v>
      </c>
      <c r="Z85" s="194"/>
      <c r="AA85" s="194"/>
      <c r="AB85" s="194"/>
      <c r="AC85" s="194"/>
      <c r="AD85" s="194"/>
      <c r="AE85" s="194"/>
      <c r="AF85" s="194"/>
      <c r="AG85" s="194"/>
      <c r="AH85" s="194"/>
      <c r="AI85" s="194"/>
      <c r="AJ85" s="194"/>
      <c r="AK85" s="194"/>
      <c r="AL85" s="181"/>
      <c r="AM85" s="302"/>
      <c r="AQ85" s="638" t="s">
        <v>1055</v>
      </c>
      <c r="AR85" s="409">
        <f>+VALUE(RIGHT($G$52,3))</f>
        <v>2</v>
      </c>
      <c r="AS85" s="520" t="s">
        <v>241</v>
      </c>
      <c r="AT85" s="3">
        <f>+IF(OR(W82=0,W82=1),1,W82)</f>
        <v>1</v>
      </c>
      <c r="AW85" s="10" t="e">
        <f>IF(AR85=2,ROUND(VLOOKUP(AR84,許容応力!$B$6:$K$22,7)*1.1/3*100,0),ROUND(VLOOKUP(AR84,許容応力!$B$6:$K$22,7)*1.1/3*1.3*100,0))</f>
        <v>#VALUE!</v>
      </c>
      <c r="AX85" s="63" t="e">
        <f>ROUND(VLOOKUP(AR84,許容応力!$B$6:$K$22,7)*100*2/3*0.8,0)</f>
        <v>#VALUE!</v>
      </c>
      <c r="AY85" s="10" t="e">
        <f>IF(AR85=2,ROUND(VLOOKUP(AR84,許容応力!$B$6:$K$22,8)*1.1/3*100,0),ROUND(VLOOKUP(AR84,許容応力!$B$6:$K$22,8)*1.1/3*1.3*100,0))</f>
        <v>#VALUE!</v>
      </c>
      <c r="AZ85" s="63" t="e">
        <f>ROUND(VLOOKUP(AR84,許容応力!$B$6:$K$22,8)*100*2/3*0.8,0)</f>
        <v>#VALUE!</v>
      </c>
      <c r="BA85" s="10" t="e">
        <f>IF(AR85=2,ROUND(VLOOKUP(AR84,許容応力!$B$6:$K$22,9)*1.1/3*100,0),ROUND(VLOOKUP(AR84,許容応力!$B$6:$K$22,9)*1.1/3*1.3*100,0))</f>
        <v>#VALUE!</v>
      </c>
      <c r="BB85" s="63" t="e">
        <f>ROUND(VLOOKUP(AR84,許容応力!$B$6:$K$22,9)*100*2/3*0.8,0)</f>
        <v>#VALUE!</v>
      </c>
      <c r="BC85" s="63">
        <f>IF(AR85=2,400,200)</f>
        <v>400</v>
      </c>
      <c r="BD85" s="63">
        <f>ROUND(AW81/BC85,2)</f>
        <v>0</v>
      </c>
      <c r="BE85" s="3" t="e">
        <f>ROUND(($AY83+CB83+DA84)/$BK85,1)</f>
        <v>#DIV/0!</v>
      </c>
      <c r="BF85" s="3" t="e">
        <f>ROUND(($CT82)/$BL85,2)</f>
        <v>#VALUE!</v>
      </c>
      <c r="BG85" s="63" t="e">
        <f>ROUND((BC83+CB84+DA85)/AY85,1)</f>
        <v>#DIV/0!</v>
      </c>
      <c r="BH85" s="3" t="e">
        <f>ROUND(($BA83+CB83+DB84)/$BK85,1)</f>
        <v>#DIV/0!</v>
      </c>
      <c r="BI85" s="3" t="e">
        <f>ROUNDDOWN(($CV82)/$BL85,1)</f>
        <v>#VALUE!</v>
      </c>
      <c r="BJ85" s="63" t="e">
        <f>ROUND((BE83+CB84+DB85)/AZ85,1)</f>
        <v>#DIV/0!</v>
      </c>
      <c r="BK85" s="63">
        <f>ROUNDDOWN(M81/10*POWER(O81/10,2)/6*IF(OR(W81=0,W81=1),1,W81),0)</f>
        <v>0</v>
      </c>
      <c r="BL85" s="63">
        <f>ROUNDDOWN(M81/10*POWER(O81/10,3)/12*IF(OR(W81=0,W81=1),1,W81),0)</f>
        <v>0</v>
      </c>
      <c r="BM85" s="63" t="e">
        <f>ROUND(BC83/(BA85*AH81),1)</f>
        <v>#DIV/0!</v>
      </c>
      <c r="BN85" s="63" t="e">
        <f>ROUND(BE83/(BB85*AH81),1)</f>
        <v>#DIV/0!</v>
      </c>
      <c r="CD85" s="803" t="s">
        <v>292</v>
      </c>
      <c r="CE85" s="3" t="e">
        <f>ROUND(M81/10*POWER(CE83,3)/12,0)</f>
        <v>#N/A</v>
      </c>
      <c r="CZ85" s="3" t="s">
        <v>1018</v>
      </c>
      <c r="DA85" s="3">
        <f>+DA82*M86*100/2</f>
        <v>0</v>
      </c>
      <c r="DB85" s="3" t="e">
        <f>+DB82*M86*100/2</f>
        <v>#VALUE!</v>
      </c>
      <c r="DE85" s="3" t="e">
        <f t="shared" ref="DE85:DJ85" si="28">+DE84</f>
        <v>#N/A</v>
      </c>
      <c r="DF85" s="3" t="e">
        <f t="shared" si="28"/>
        <v>#N/A</v>
      </c>
      <c r="DG85" s="3" t="e">
        <f t="shared" si="28"/>
        <v>#N/A</v>
      </c>
      <c r="DH85" s="3" t="e">
        <f t="shared" si="28"/>
        <v>#N/A</v>
      </c>
      <c r="DI85" s="3" t="e">
        <f t="shared" si="28"/>
        <v>#N/A</v>
      </c>
      <c r="DJ85" s="3" t="e">
        <f t="shared" si="28"/>
        <v>#N/A</v>
      </c>
    </row>
    <row r="86" spans="2:117" x14ac:dyDescent="0.15">
      <c r="B86" s="1650"/>
      <c r="C86" s="1410"/>
      <c r="D86" s="1322"/>
      <c r="E86" s="1211"/>
      <c r="F86" s="1028"/>
      <c r="G86" s="1028"/>
      <c r="H86" s="440">
        <f>ROUND((F86+G86)/2,2)</f>
        <v>0</v>
      </c>
      <c r="I86" s="1410"/>
      <c r="J86" s="1028"/>
      <c r="K86" s="476"/>
      <c r="L86" s="1028"/>
      <c r="M86" s="471">
        <f>SUM(J86:L86)</f>
        <v>0</v>
      </c>
      <c r="N86" s="440">
        <f>+M86*100</f>
        <v>0</v>
      </c>
      <c r="O86" s="302"/>
      <c r="P86" s="302"/>
      <c r="Q86" s="302"/>
      <c r="R86" s="302"/>
      <c r="S86" s="302"/>
      <c r="T86" s="302"/>
      <c r="U86" s="302"/>
      <c r="V86" s="302"/>
      <c r="W86" s="302"/>
      <c r="X86" s="1024">
        <f>IF(W85=0,0,+Q169)</f>
        <v>0</v>
      </c>
      <c r="Y86" s="302"/>
      <c r="Z86" s="302"/>
      <c r="AA86" s="302"/>
      <c r="AB86" s="302"/>
      <c r="AC86" s="302"/>
      <c r="AD86" s="302"/>
      <c r="AE86" s="302"/>
      <c r="AF86" s="302"/>
      <c r="AG86" s="302"/>
      <c r="AH86" s="302"/>
      <c r="AI86" s="302"/>
      <c r="AJ86" s="302"/>
      <c r="AK86" s="302"/>
      <c r="AL86" s="181"/>
      <c r="AM86" s="302"/>
      <c r="AW86" s="3" t="e">
        <f>+AW85</f>
        <v>#VALUE!</v>
      </c>
      <c r="AX86" s="3" t="e">
        <f t="shared" ref="AX86:BD86" si="29">+AX85</f>
        <v>#VALUE!</v>
      </c>
      <c r="AY86" s="3" t="e">
        <f t="shared" si="29"/>
        <v>#VALUE!</v>
      </c>
      <c r="AZ86" s="3" t="e">
        <f t="shared" si="29"/>
        <v>#VALUE!</v>
      </c>
      <c r="BA86" s="3" t="e">
        <f t="shared" si="29"/>
        <v>#VALUE!</v>
      </c>
      <c r="BB86" s="3" t="e">
        <f t="shared" si="29"/>
        <v>#VALUE!</v>
      </c>
      <c r="BC86" s="3">
        <f t="shared" si="29"/>
        <v>400</v>
      </c>
      <c r="BD86" s="3">
        <f t="shared" si="29"/>
        <v>0</v>
      </c>
      <c r="BE86" s="3" t="e">
        <f>ROUND((CB83+$AY83+DA84)/$BK86,1)</f>
        <v>#N/A</v>
      </c>
      <c r="BF86" s="3" t="e">
        <f>ROUND(($CT83)/$BL86,2)</f>
        <v>#VALUE!</v>
      </c>
      <c r="BG86" s="63" t="e">
        <f>ROUND((BC83+CB84+DA85)/AY85,1)</f>
        <v>#DIV/0!</v>
      </c>
      <c r="BH86" s="3" t="e">
        <f>ROUND(($BA83+CB83+DB84)/$BK86,1)</f>
        <v>#DIV/0!</v>
      </c>
      <c r="BI86" s="3" t="e">
        <f>ROUND(($CV83)/$BL86,2)</f>
        <v>#VALUE!</v>
      </c>
      <c r="BJ86" s="63" t="e">
        <f>ROUND((BE83+CB84+DB85)/AZ85,1)</f>
        <v>#DIV/0!</v>
      </c>
      <c r="BK86" s="63">
        <f>IF(O82&lt;180,ROUND((O82/10-3)*POWER(O82/10-3,2)/6*IF(EX82=0,1,W82),0),ROUND((O82/10-5)*POWER((O82/10-3),2)/6*IF(W82=0,1,W82),0))</f>
        <v>-5</v>
      </c>
      <c r="BL86" s="63">
        <f>ROUND(IF(O82&lt;180,(O82/10-3)*POWER((O82/10-3),3)/12*IF(W82=0,1,W82),(O82/10-5))*POWER((O82/10-3),3)/12*IF(W82=0,1,W82),0)</f>
        <v>-15</v>
      </c>
      <c r="BM86" s="63" t="e">
        <f>+BM85</f>
        <v>#DIV/0!</v>
      </c>
      <c r="BN86" s="63" t="e">
        <f>+BN85</f>
        <v>#DIV/0!</v>
      </c>
    </row>
    <row r="87" spans="2:117" ht="15" thickBot="1" x14ac:dyDescent="0.2">
      <c r="B87" s="1651"/>
      <c r="C87" s="1411" t="s">
        <v>1002</v>
      </c>
      <c r="D87" s="1412"/>
      <c r="E87" s="1150"/>
      <c r="F87" s="472" t="s">
        <v>1003</v>
      </c>
      <c r="G87" s="1136"/>
      <c r="H87" s="459" t="s">
        <v>1004</v>
      </c>
      <c r="I87" s="460"/>
      <c r="J87" s="466"/>
      <c r="K87" s="473"/>
      <c r="L87" s="473"/>
      <c r="M87" s="473"/>
      <c r="N87" s="473"/>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175"/>
      <c r="AM87" s="302"/>
    </row>
    <row r="88" spans="2:117" ht="15" thickBot="1" x14ac:dyDescent="0.2">
      <c r="B88" s="1587" t="s">
        <v>1075</v>
      </c>
      <c r="C88" s="1680"/>
      <c r="D88" s="1681"/>
      <c r="E88" s="417" t="s">
        <v>184</v>
      </c>
      <c r="F88" s="670"/>
      <c r="G88" s="1034" t="s">
        <v>1061</v>
      </c>
      <c r="H88" s="1034" t="s">
        <v>1063</v>
      </c>
      <c r="I88" s="1034" t="s">
        <v>965</v>
      </c>
      <c r="J88" s="1034" t="s">
        <v>966</v>
      </c>
      <c r="K88" s="1034"/>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181"/>
      <c r="AM88" s="302"/>
      <c r="CA88" s="3">
        <v>1</v>
      </c>
      <c r="CB88" s="3">
        <v>2</v>
      </c>
      <c r="CC88" s="3">
        <v>3</v>
      </c>
      <c r="CD88" s="3">
        <v>4</v>
      </c>
      <c r="CE88" s="3">
        <v>5</v>
      </c>
      <c r="CF88" s="3">
        <v>6</v>
      </c>
      <c r="DK88" s="3" t="s">
        <v>1223</v>
      </c>
      <c r="DL88" s="3" t="s">
        <v>1224</v>
      </c>
    </row>
    <row r="89" spans="2:117" ht="14.25" customHeight="1" x14ac:dyDescent="0.15">
      <c r="B89" s="1650"/>
      <c r="C89" s="1676"/>
      <c r="D89" s="449"/>
      <c r="E89" s="1677"/>
      <c r="F89" s="1678" t="str">
        <f>IF(E89=0,"",ROUND(SQRT(COS(AV89*1.5*PI()/180)),3))</f>
        <v/>
      </c>
      <c r="G89" s="474"/>
      <c r="H89" s="474"/>
      <c r="I89" s="802"/>
      <c r="J89" s="802"/>
      <c r="K89" s="1033"/>
      <c r="L89" s="1575"/>
      <c r="M89" s="1654"/>
      <c r="N89" s="1229">
        <f>+IF(M89=0,0,"×")</f>
        <v>0</v>
      </c>
      <c r="O89" s="1295">
        <f>IF(M89=0,0,CN90)</f>
        <v>0</v>
      </c>
      <c r="P89" s="1296" t="str">
        <f>IF(X89=+"","",IF(AND(X89&lt;=1,Y89&lt;=1,AA89&lt;=1,AB89&lt;=1),"OK!","NO!"))</f>
        <v/>
      </c>
      <c r="Q89" s="1296">
        <f>IF(U89=0,0,IF(AND(S89=0,W93=0),0,IF(IF(Z89&gt;=AC89,Z89,AC89)&lt;=1,"OK!","NO!")))</f>
        <v>0</v>
      </c>
      <c r="R89" s="1659"/>
      <c r="S89" s="1269"/>
      <c r="T89" s="1271">
        <f>IF(S89=0,0,BU89)</f>
        <v>0</v>
      </c>
      <c r="U89" s="1253">
        <f>IF(AND(T93=0,S89=0),0,+IF(AND(VALUE(RIGHT(R89,4))=2,T93&gt;0),0,IF(AND(VALUE(RIGHT(R89,4))=1,S89&gt;0),0,DM89)))</f>
        <v>0</v>
      </c>
      <c r="V89" s="1257">
        <f>IF(S89=0,0,IF(BG93&gt;=BJ93,BG93,BJ93))</f>
        <v>0</v>
      </c>
      <c r="W89" s="1652"/>
      <c r="X89" s="1257" t="str">
        <f>IF(O89=0,"",ROUNDUP($BE93/$AW93,2))</f>
        <v/>
      </c>
      <c r="Y89" s="1257" t="str">
        <f>IF(O89=0,"",ROUND($BF93/$BD93,2))</f>
        <v/>
      </c>
      <c r="Z89" s="1257">
        <f>IF(L89=0,0,IF(AND(S89=0,W93=0),0,IF(S89=0,ROUNDUP((BC91+CB92)/(AY93*$R$181*AR11*Y93/100),2),+BV89)))</f>
        <v>0</v>
      </c>
      <c r="AA89" s="1257" t="str">
        <f>IF(O89=0,"",ROUNDUP($BH93/$AX93,2))</f>
        <v/>
      </c>
      <c r="AB89" s="1257" t="str">
        <f>IF(O89=0,"",ROUNDUP($BI93/$BD93,2))</f>
        <v/>
      </c>
      <c r="AC89" s="1257">
        <f>IF(L89=0,0,IF(AND(S89=0,W93=0),0,IF(S89=0,ROUNDUP((BE91+CB92)/(AZ93*$R$181*AR11*Y93/100),2),+BW89)))</f>
        <v>0</v>
      </c>
      <c r="AD89" s="162"/>
      <c r="AE89" s="447"/>
      <c r="AF89" s="430"/>
      <c r="AG89" s="428"/>
      <c r="AH89" s="1253">
        <f>IF(AD89=0,0,ROUND(AD89*AE89+AF89*AG89+AD90*AE90+AF90*AG90,2))</f>
        <v>0</v>
      </c>
      <c r="AI89" s="1253">
        <f>IF(AD89=0,0,IF(AN89=1,AM89/(AR11*Y93),AM89))</f>
        <v>0</v>
      </c>
      <c r="AJ89" s="1255" t="str">
        <f>IF(AI89=0,"",IF(AI89&lt;=1,"OK!","NO!"))</f>
        <v/>
      </c>
      <c r="AK89" s="191">
        <f>+IF(J94=0,0,"1/")</f>
        <v>0</v>
      </c>
      <c r="AL89" s="192">
        <f>IF(J94=0,0,+BC93)</f>
        <v>0</v>
      </c>
      <c r="AM89" s="3" t="e">
        <f>+IF(BM93&gt;=BN93,BM93+DK90,BN93+DL90)</f>
        <v>#DIV/0!</v>
      </c>
      <c r="AN89" s="3">
        <f>IF(Q93=0,0,+VALUE(RIGHT(Q93,4)))</f>
        <v>0</v>
      </c>
      <c r="AQ89" s="479" t="s">
        <v>877</v>
      </c>
      <c r="AR89" s="632">
        <f>+準備!G57+AT89</f>
        <v>850</v>
      </c>
      <c r="AS89" s="632" t="e">
        <f>+準備!G57+AU89</f>
        <v>#VALUE!</v>
      </c>
      <c r="AT89" s="63">
        <f>ROUNDUP(IF(VALUE(RIGHT($G$52,3))=1,AU89*0.7,0),0)</f>
        <v>0</v>
      </c>
      <c r="AU89" s="63" t="e">
        <f>ROUNDUP(IF(VALUE(RIGHT($G$52,4))=1,$M$52*30*F89*100,$M$52*20*F89*100),0)</f>
        <v>#VALUE!</v>
      </c>
      <c r="AV89" s="69">
        <f>ROUND(ATAN(E89/10)*180/PI(),4)</f>
        <v>0</v>
      </c>
      <c r="AW89" s="3">
        <f>+N94</f>
        <v>0</v>
      </c>
      <c r="AX89" s="3" t="s">
        <v>1033</v>
      </c>
      <c r="AY89" s="3" t="e">
        <f>ROUND($AU90*$AU91/$AW89*$AR90,1)</f>
        <v>#DIV/0!</v>
      </c>
      <c r="AZ89" s="641">
        <f>+AU91</f>
        <v>0</v>
      </c>
      <c r="BA89" s="640">
        <f>+AW90</f>
        <v>0</v>
      </c>
      <c r="BB89" s="3" t="e">
        <f>ROUND($AY89*$BA89/$AZ89+$AY90,0)</f>
        <v>#DIV/0!</v>
      </c>
      <c r="BC89" s="3" t="s">
        <v>1035</v>
      </c>
      <c r="BD89" s="3" t="e">
        <f>ROUND($AU90*$AU91/$AW89*$AS90,1)</f>
        <v>#DIV/0!</v>
      </c>
      <c r="BE89" s="3" t="e">
        <f>ROUND($BD89*$BA89/$AZ89+$BD90,0)</f>
        <v>#DIV/0!</v>
      </c>
      <c r="BF89" s="3" t="s">
        <v>1039</v>
      </c>
      <c r="BG89" s="3" t="e">
        <f>ROUND($AU91/$AW89*$AR90,0)</f>
        <v>#DIV/0!</v>
      </c>
      <c r="BH89" s="3" t="e">
        <f>ROUND($AU90/$AW89*$AR90,0)</f>
        <v>#DIV/0!</v>
      </c>
      <c r="BI89" s="3" t="s">
        <v>1043</v>
      </c>
      <c r="BJ89" s="3" t="e">
        <f>ROUND($AU91/$AW89*$AS90,0)</f>
        <v>#DIV/0!</v>
      </c>
      <c r="BK89" s="3" t="e">
        <f>ROUND($AU90/$AW89*$AS90,0)</f>
        <v>#DIV/0!</v>
      </c>
      <c r="BL89" s="3" t="s">
        <v>1057</v>
      </c>
      <c r="BM89" s="3">
        <f>ROUND(POWER($AW89,2)-POWER($AU91,2),0)</f>
        <v>0</v>
      </c>
      <c r="BN89" s="3">
        <f>ROUND(POWER($AW89,2)-POWER($AW91,2),0)</f>
        <v>0</v>
      </c>
      <c r="BO89" s="3">
        <f>+SQRT(POWER(BM89,3))</f>
        <v>0</v>
      </c>
      <c r="BP89" s="3">
        <f>+SQRT(POWER(BN89,3))</f>
        <v>0</v>
      </c>
      <c r="BQ89" s="63" t="e">
        <f>ROUNDUP($AR90*$AU91*$BO89/(9*SQRT(3)*$AT92*$AW89),2)</f>
        <v>#VALUE!</v>
      </c>
      <c r="BR89" s="63" t="e">
        <f>ROUNDUP($AR91*$AW91*$BP89/(9*SQRT(3)*$AT92*$AW89),2)</f>
        <v>#VALUE!</v>
      </c>
      <c r="BS89" s="63" t="e">
        <f>ROUNDUP($AS90*$AU91*$BO89/(9*SQRT(3)*$AT92*$AW89),2)</f>
        <v>#VALUE!</v>
      </c>
      <c r="BT89" s="63" t="e">
        <f>ROUNDUP($AS91*$AW91*$BP89/(9*SQRT(3)*$AT92*$AW89),2)</f>
        <v>#VALUE!</v>
      </c>
      <c r="BU89" s="9">
        <f>IF(O89=0,0,ROUNDUP(SQRT((V89*M89/10*O89/10)/(S89*S89)),2))</f>
        <v>0</v>
      </c>
      <c r="BV89" s="3" t="e">
        <f>ROUND((+BC91+CB92+DA93)/(AY93*U89),2)</f>
        <v>#DIV/0!</v>
      </c>
      <c r="BW89" s="3" t="e">
        <f>ROUND((+BE91+CB92+DB93)/(AZ93*U89),2)</f>
        <v>#DIV/0!</v>
      </c>
      <c r="BX89" s="393"/>
      <c r="BY89" s="803" t="s">
        <v>269</v>
      </c>
      <c r="BZ89" s="803" t="s">
        <v>269</v>
      </c>
      <c r="CA89" s="632">
        <f>+準備!$G$20/100</f>
        <v>4.5</v>
      </c>
      <c r="CB89" s="632">
        <f>+準備!$G$24/100</f>
        <v>11</v>
      </c>
      <c r="CC89" s="632">
        <f>+準備!$G$28/100</f>
        <v>14</v>
      </c>
      <c r="CD89" s="632">
        <f>+準備!$G$32/100</f>
        <v>17.5</v>
      </c>
      <c r="CE89" s="632">
        <f>+準備!$G$36/100</f>
        <v>17.5</v>
      </c>
      <c r="CF89" s="632">
        <f>+準備!$G$38/100</f>
        <v>4</v>
      </c>
      <c r="CN89" s="3" t="s">
        <v>998</v>
      </c>
      <c r="CO89" s="3" t="s">
        <v>995</v>
      </c>
      <c r="CP89" s="3" t="s">
        <v>189</v>
      </c>
      <c r="CQ89" s="3" t="s">
        <v>996</v>
      </c>
      <c r="CR89" s="3" t="s">
        <v>189</v>
      </c>
      <c r="CS89" s="3" t="s">
        <v>1059</v>
      </c>
      <c r="CT89" s="3" t="s">
        <v>189</v>
      </c>
      <c r="CU89" s="3" t="s">
        <v>996</v>
      </c>
      <c r="CV89" s="2" t="s">
        <v>189</v>
      </c>
      <c r="CW89" s="548" t="s">
        <v>995</v>
      </c>
      <c r="CX89" s="548" t="s">
        <v>189</v>
      </c>
      <c r="CY89" s="548" t="s">
        <v>996</v>
      </c>
      <c r="CZ89" s="548" t="s">
        <v>189</v>
      </c>
      <c r="DA89" s="803" t="s">
        <v>269</v>
      </c>
      <c r="DB89" s="803" t="s">
        <v>269</v>
      </c>
      <c r="DC89" s="3" t="s">
        <v>189</v>
      </c>
      <c r="DE89" s="3" t="e">
        <f>ROUND(($CB91+DA92)/$CE92,1)</f>
        <v>#N/A</v>
      </c>
      <c r="DF89" s="3" t="e">
        <f>ROUND(($CC92+DC91)/$CE93,2)</f>
        <v>#N/A</v>
      </c>
      <c r="DG89" s="3" t="e">
        <f>ROUND(($CB92+$DA93)/$U89,1)</f>
        <v>#N/A</v>
      </c>
      <c r="DH89" s="3" t="e">
        <f>ROUND(($CB91+DB92)/$CE92,1)</f>
        <v>#N/A</v>
      </c>
      <c r="DI89" s="3" t="e">
        <f>ROUND(($CC92+DD91)/$CE93,2)</f>
        <v>#N/A</v>
      </c>
      <c r="DJ89" s="3" t="e">
        <f>ROUND(($CB92+DB93)/$U89,1)</f>
        <v>#N/A</v>
      </c>
      <c r="DK89" s="3" t="e">
        <f>ROUND(VLOOKUP(VALUE(RIGHT($L89,4)),許容応力!$B$6:$K$22,9)*1.1/3*100,0)</f>
        <v>#VALUE!</v>
      </c>
      <c r="DL89" s="3" t="e">
        <f>ROUND(VLOOKUP(VALUE(RIGHT($L89,4)),許容応力!$B$6:$K$22,9)*2/3*0.8*100,0)</f>
        <v>#VALUE!</v>
      </c>
      <c r="DM89" s="1253">
        <f>IF(AND(S89=0,W93=0),0,IF(T89=0,R$181*AR11*Y93/100,ROUND(POWER(S89*T89,2)/(M89/10*O89/10),2)))</f>
        <v>0</v>
      </c>
    </row>
    <row r="90" spans="2:117" x14ac:dyDescent="0.15">
      <c r="B90" s="1650"/>
      <c r="C90" s="1676"/>
      <c r="D90" s="439"/>
      <c r="E90" s="1677"/>
      <c r="F90" s="1555"/>
      <c r="G90" s="1034" t="s">
        <v>1064</v>
      </c>
      <c r="H90" s="1034" t="s">
        <v>1062</v>
      </c>
      <c r="I90" s="1033"/>
      <c r="J90" s="1034" t="s">
        <v>966</v>
      </c>
      <c r="K90" s="1034" t="s">
        <v>965</v>
      </c>
      <c r="L90" s="1478"/>
      <c r="M90" s="1653"/>
      <c r="N90" s="1285"/>
      <c r="O90" s="1258"/>
      <c r="P90" s="1258"/>
      <c r="Q90" s="1297"/>
      <c r="R90" s="1660"/>
      <c r="S90" s="1270"/>
      <c r="T90" s="1254"/>
      <c r="U90" s="1272"/>
      <c r="V90" s="1254"/>
      <c r="W90" s="1653"/>
      <c r="X90" s="1258"/>
      <c r="Y90" s="1258"/>
      <c r="Z90" s="1254"/>
      <c r="AA90" s="1258"/>
      <c r="AB90" s="1258"/>
      <c r="AC90" s="1254"/>
      <c r="AD90" s="160"/>
      <c r="AE90" s="432"/>
      <c r="AF90" s="433"/>
      <c r="AG90" s="434"/>
      <c r="AH90" s="1254"/>
      <c r="AI90" s="1254"/>
      <c r="AJ90" s="1673"/>
      <c r="AK90" s="184">
        <f>+IF(G94=0,0,"1/")</f>
        <v>0</v>
      </c>
      <c r="AL90" s="185">
        <f>IF(J94=0,0,+BC94)</f>
        <v>0</v>
      </c>
      <c r="AM90" s="597"/>
      <c r="AN90" s="407"/>
      <c r="AQ90" s="638" t="s">
        <v>1023</v>
      </c>
      <c r="AR90" s="3">
        <f>ROUND(AR89*(G89+H89)/2*(I89+J89)/2,0)</f>
        <v>0</v>
      </c>
      <c r="AS90" s="3" t="e">
        <f>ROUND(AS89*(G89+H89)/2*(I89+J89)/2,0)</f>
        <v>#VALUE!</v>
      </c>
      <c r="AT90" s="3" t="s">
        <v>1029</v>
      </c>
      <c r="AU90" s="640">
        <f>+J94*100</f>
        <v>0</v>
      </c>
      <c r="AV90" s="3" t="s">
        <v>1031</v>
      </c>
      <c r="AW90" s="640">
        <f>+L94*100</f>
        <v>0</v>
      </c>
      <c r="AX90" s="3" t="s">
        <v>1034</v>
      </c>
      <c r="AY90" s="3" t="e">
        <f>ROUND($AW90*$AW91/$AW89*$AR91,1)</f>
        <v>#DIV/0!</v>
      </c>
      <c r="AZ90" s="641">
        <f>+AW91</f>
        <v>0</v>
      </c>
      <c r="BA90" s="640">
        <f>+AU90</f>
        <v>0</v>
      </c>
      <c r="BB90" s="3" t="e">
        <f>ROUND($AY90*$BA90/$AZ90+$AY89,0)</f>
        <v>#DIV/0!</v>
      </c>
      <c r="BC90" s="3" t="s">
        <v>1036</v>
      </c>
      <c r="BD90" s="3" t="e">
        <f>ROUND($AW90*$AW91/$AW89*$AS91,1)</f>
        <v>#DIV/0!</v>
      </c>
      <c r="BE90" s="3" t="e">
        <f>ROUND($BD90*$BA90/$AZ90+$BD89,0)</f>
        <v>#DIV/0!</v>
      </c>
      <c r="BF90" s="3" t="s">
        <v>1040</v>
      </c>
      <c r="BG90" s="3" t="e">
        <f>ROUND($AW90/$AW89*$AR91,0)</f>
        <v>#DIV/0!</v>
      </c>
      <c r="BH90" s="3" t="e">
        <f>ROUND($AW91/$AW89*$AR91,0)</f>
        <v>#DIV/0!</v>
      </c>
      <c r="BI90" s="3" t="s">
        <v>1044</v>
      </c>
      <c r="BJ90" s="3" t="e">
        <f>ROUND($AW90/$AW89*$AS91,0)</f>
        <v>#DIV/0!</v>
      </c>
      <c r="BK90" s="3" t="e">
        <f>ROUND($AW91/$AW89*$AS91,0)</f>
        <v>#DIV/0!</v>
      </c>
      <c r="BM90" s="3">
        <f>ROUND(POWER($AW89,2)-POWER($AW90,2),0)</f>
        <v>0</v>
      </c>
      <c r="BN90" s="3">
        <f>ROUND(POWER($AW89,2)-POWER($AW91,2),0)</f>
        <v>0</v>
      </c>
      <c r="BO90" s="3">
        <f>+SQRT(POWER(BM90,3))</f>
        <v>0</v>
      </c>
      <c r="BP90" s="3">
        <f>+SQRT(POWER(BN90,3))</f>
        <v>0</v>
      </c>
      <c r="BQ90" s="63" t="e">
        <f>ROUNDUP($BR89*$AU90/$AW91,2)</f>
        <v>#VALUE!</v>
      </c>
      <c r="BR90" s="63" t="e">
        <f>ROUNDUP($BQ89*$AW90/$AU91,2)</f>
        <v>#VALUE!</v>
      </c>
      <c r="BS90" s="63" t="e">
        <f>ROUNDUP($BT89*$AU90/$AW91,2)</f>
        <v>#VALUE!</v>
      </c>
      <c r="BT90" s="63" t="e">
        <f>ROUNDUP($BS89*$AW90/$AU91,2)</f>
        <v>#VALUE!</v>
      </c>
      <c r="BU90" s="9">
        <f>IF(O90=0,0,ROUNDUP(SQRT(IF(R90=0,(V90*(O90/10-6)*(O90/10-3)),(V90*(R90/10-6)*(R90/10-3)))/(S90*S90)),2))</f>
        <v>0</v>
      </c>
      <c r="BV90" s="3" t="e">
        <f>ROUND((+BC91+CB92+DA93)/(AY94*S90*T90),2)</f>
        <v>#DIV/0!</v>
      </c>
      <c r="BW90" s="3" t="e">
        <f>ROUND((+BE91+CB92+DB93)/(AZ94*S90*T90),2)</f>
        <v>#DIV/0!</v>
      </c>
      <c r="BX90" s="78"/>
      <c r="BY90" s="87" t="e">
        <f>IF(OR(BV91=0,BV91=1),0,ROUNDUP((準備!$G$60/100+準備!$D$48/100)*((F94+G94)/2*100)/200,2))</f>
        <v>#N/A</v>
      </c>
      <c r="BZ90" s="87" t="e">
        <f>+BY90</f>
        <v>#N/A</v>
      </c>
      <c r="CA90" s="3">
        <f t="shared" ref="CA90:CF90" si="30">ROUND(CA89*$I95,2)</f>
        <v>0</v>
      </c>
      <c r="CB90" s="3">
        <f t="shared" si="30"/>
        <v>0</v>
      </c>
      <c r="CC90" s="3">
        <f t="shared" si="30"/>
        <v>0</v>
      </c>
      <c r="CD90" s="3">
        <f t="shared" si="30"/>
        <v>0</v>
      </c>
      <c r="CE90" s="3">
        <f t="shared" si="30"/>
        <v>0</v>
      </c>
      <c r="CF90" s="3">
        <f t="shared" si="30"/>
        <v>0</v>
      </c>
      <c r="CJ90" s="63" t="e">
        <f>+ROUNDUP(CO90/3,-1)*3</f>
        <v>#DIV/0!</v>
      </c>
      <c r="CK90" s="63" t="e">
        <f>+ROUNDUP(CP90/3,-1)*3</f>
        <v>#VALUE!</v>
      </c>
      <c r="CL90" s="63" t="e">
        <f>+ROUNDUP(CQ90/3,-1)*3</f>
        <v>#DIV/0!</v>
      </c>
      <c r="CM90" s="63" t="e">
        <f>+ROUNDUP(CR90/3,-1)*3</f>
        <v>#VALUE!</v>
      </c>
      <c r="CN90" s="649" t="e">
        <f>MAX(CJ90:CM90)</f>
        <v>#DIV/0!</v>
      </c>
      <c r="CO90" s="63" t="e">
        <f>ROUNDUP(SQRT(ROUND($CS90/$AW93*6/($M89/10)/IF($W89=0,1,$W89),1))*10,0)</f>
        <v>#DIV/0!</v>
      </c>
      <c r="CP90" s="3" t="e">
        <f>POWER(ROUNDDOWN($CT90/($M89/10)*12,0)/IF($W89=0,1,$W89)/$BD93,1/3)*10</f>
        <v>#VALUE!</v>
      </c>
      <c r="CQ90" s="63" t="e">
        <f>ROUNDUP(SQRT(ROUND($CU90/$AX93*6/($M89/10)/IF($W89=0,1,$W89),1))*10,0)</f>
        <v>#DIV/0!</v>
      </c>
      <c r="CR90" s="3" t="e">
        <f>POWER(ROUNDDOWN($CV90/($M89/10)*12,0)/IF($W89=0,1,$W89)/$BD93,1/3)*10</f>
        <v>#VALUE!</v>
      </c>
      <c r="CS90" s="63" t="e">
        <f>+AY91+CB91+DA92</f>
        <v>#DIV/0!</v>
      </c>
      <c r="CT90" s="63" t="e">
        <f>+IF(BQ91&gt;=BR91,BQ91+CC92+DC91,BR91+CC92+DC91)</f>
        <v>#VALUE!</v>
      </c>
      <c r="CU90" s="63" t="e">
        <f>+BA91+CB91+DB92</f>
        <v>#DIV/0!</v>
      </c>
      <c r="CV90" s="78" t="e">
        <f>+IF(BS91&gt;=BT91,BS91+CC92+DD91,BT91+CC92+DD91)</f>
        <v>#VALUE!</v>
      </c>
      <c r="CW90" s="548" t="e">
        <f>+CO90</f>
        <v>#DIV/0!</v>
      </c>
      <c r="CX90" s="548" t="e">
        <f>+CP90</f>
        <v>#VALUE!</v>
      </c>
      <c r="CY90" s="548" t="e">
        <f>CQ90</f>
        <v>#DIV/0!</v>
      </c>
      <c r="CZ90" s="548" t="e">
        <f>+CR90</f>
        <v>#VALUE!</v>
      </c>
      <c r="DA90" s="87">
        <f>IF(OR($BV91=0,$BV91=1),0,ROUND((準備!$G$6+$AT89)*$G94/200,2))</f>
        <v>0</v>
      </c>
      <c r="DB90" s="87" t="e">
        <f>IF(OR($BV91=0,$BV91=1),0,ROUND((準備!$G$6+$AU89)*$G94/200,2))</f>
        <v>#VALUE!</v>
      </c>
      <c r="DC90" s="3" t="s">
        <v>168</v>
      </c>
      <c r="DD90" s="3" t="s">
        <v>203</v>
      </c>
      <c r="DE90" s="3" t="e">
        <f t="shared" ref="DE90:DJ90" si="31">+DE89</f>
        <v>#N/A</v>
      </c>
      <c r="DF90" s="3" t="e">
        <f t="shared" si="31"/>
        <v>#N/A</v>
      </c>
      <c r="DG90" s="3" t="e">
        <f t="shared" si="31"/>
        <v>#N/A</v>
      </c>
      <c r="DH90" s="3" t="e">
        <f t="shared" si="31"/>
        <v>#N/A</v>
      </c>
      <c r="DI90" s="3" t="e">
        <f t="shared" si="31"/>
        <v>#N/A</v>
      </c>
      <c r="DJ90" s="3" t="e">
        <f t="shared" si="31"/>
        <v>#N/A</v>
      </c>
      <c r="DK90" s="3" t="e">
        <f>ROUND(DA90*M94*100/2/DK89/AH89,2)</f>
        <v>#VALUE!</v>
      </c>
      <c r="DL90" s="3" t="e">
        <f>ROUND(DB90*M94*100/2/DL89/AH89,2)</f>
        <v>#VALUE!</v>
      </c>
      <c r="DM90" s="1254"/>
    </row>
    <row r="91" spans="2:117" x14ac:dyDescent="0.15">
      <c r="B91" s="1650"/>
      <c r="C91" s="1270"/>
      <c r="D91" s="194"/>
      <c r="E91" s="1270"/>
      <c r="F91" s="1254"/>
      <c r="G91" s="1035">
        <f>+H89</f>
        <v>0</v>
      </c>
      <c r="H91" s="475"/>
      <c r="I91" s="1033"/>
      <c r="J91" s="1033">
        <f>+J89</f>
        <v>0</v>
      </c>
      <c r="K91" s="1033">
        <f>+I89</f>
        <v>0</v>
      </c>
      <c r="L91" s="194"/>
      <c r="M91" s="176"/>
      <c r="N91" s="176"/>
      <c r="O91" s="176"/>
      <c r="P91" s="176"/>
      <c r="Q91" s="451"/>
      <c r="R91" s="878"/>
      <c r="S91" s="1307" t="s">
        <v>1154</v>
      </c>
      <c r="T91" s="1308"/>
      <c r="U91" s="1308"/>
      <c r="V91" s="1308"/>
      <c r="W91" s="1308"/>
      <c r="X91" s="1308"/>
      <c r="Y91" s="1621"/>
      <c r="Z91" s="176"/>
      <c r="AA91" s="176"/>
      <c r="AB91" s="176"/>
      <c r="AC91" s="176"/>
      <c r="AD91" s="176"/>
      <c r="AE91" s="176"/>
      <c r="AF91" s="176"/>
      <c r="AG91" s="176"/>
      <c r="AH91" s="176"/>
      <c r="AI91" s="176"/>
      <c r="AJ91" s="176"/>
      <c r="AK91" s="176"/>
      <c r="AL91" s="469"/>
      <c r="AM91" s="302"/>
      <c r="AQ91" s="638" t="s">
        <v>1024</v>
      </c>
      <c r="AR91" s="3">
        <f>ROUND(AR89*(G91+H91)/2*(K91+J91)/2,0)</f>
        <v>0</v>
      </c>
      <c r="AS91" s="3" t="e">
        <f>ROUND(AS89*(G91+H91)/2*(K91+J91)/2,0)</f>
        <v>#VALUE!</v>
      </c>
      <c r="AT91" s="3" t="s">
        <v>1030</v>
      </c>
      <c r="AU91" s="641">
        <f>(+K94+L94)*100</f>
        <v>0</v>
      </c>
      <c r="AV91" s="3" t="s">
        <v>1032</v>
      </c>
      <c r="AW91" s="641">
        <f>(+J94+K94)*100</f>
        <v>0</v>
      </c>
      <c r="AX91" s="3" t="s">
        <v>1037</v>
      </c>
      <c r="AY91" s="548" t="e">
        <f>+IF(BB89&gt;=BB90,BB89,BB90)</f>
        <v>#DIV/0!</v>
      </c>
      <c r="AZ91" s="3" t="s">
        <v>1038</v>
      </c>
      <c r="BA91" s="548" t="e">
        <f>+IF(BE89&gt;=BE90,BE89,BE90)</f>
        <v>#DIV/0!</v>
      </c>
      <c r="BB91" s="3" t="s">
        <v>1041</v>
      </c>
      <c r="BC91" s="548" t="e">
        <f>+IF(BG91&gt;=BH91,BG91,BH91)</f>
        <v>#DIV/0!</v>
      </c>
      <c r="BD91" s="3" t="s">
        <v>1042</v>
      </c>
      <c r="BE91" s="548" t="e">
        <f>+IF(BJ91&gt;=BK91,BJ91,BK91)</f>
        <v>#DIV/0!</v>
      </c>
      <c r="BG91" s="3" t="e">
        <f>SUM(BG89:BG90)</f>
        <v>#DIV/0!</v>
      </c>
      <c r="BH91" s="3" t="e">
        <f>SUM(BH89:BH90)</f>
        <v>#DIV/0!</v>
      </c>
      <c r="BJ91" s="3" t="e">
        <f>SUM(BJ89:BJ90)</f>
        <v>#DIV/0!</v>
      </c>
      <c r="BK91" s="3" t="e">
        <f>SUM(BK89:BK90)</f>
        <v>#DIV/0!</v>
      </c>
      <c r="BM91" s="3">
        <f t="shared" ref="BM91:BT91" si="32">SUM(BM89:BM90)</f>
        <v>0</v>
      </c>
      <c r="BN91" s="3">
        <f t="shared" si="32"/>
        <v>0</v>
      </c>
      <c r="BO91" s="3">
        <f t="shared" si="32"/>
        <v>0</v>
      </c>
      <c r="BP91" s="3">
        <f t="shared" si="32"/>
        <v>0</v>
      </c>
      <c r="BQ91" s="3" t="e">
        <f t="shared" si="32"/>
        <v>#VALUE!</v>
      </c>
      <c r="BR91" s="3" t="e">
        <f t="shared" si="32"/>
        <v>#VALUE!</v>
      </c>
      <c r="BS91" s="3" t="e">
        <f t="shared" si="32"/>
        <v>#VALUE!</v>
      </c>
      <c r="BT91" s="3" t="e">
        <f t="shared" si="32"/>
        <v>#VALUE!</v>
      </c>
      <c r="BU91" s="3" t="s">
        <v>1012</v>
      </c>
      <c r="BV91" s="3">
        <f>IF(D92=0,0,+VALUE(RIGHT(D92,4)))</f>
        <v>2</v>
      </c>
      <c r="BW91" s="3" t="s">
        <v>1003</v>
      </c>
      <c r="BX91" s="3" t="e">
        <f>+VALUE(RIGHT(G95,4))</f>
        <v>#VALUE!</v>
      </c>
      <c r="BY91" s="3">
        <f>IF(OR(BV92=0,BV92=2),0,HLOOKUP(BX91,CA88:CF90,3))</f>
        <v>0</v>
      </c>
      <c r="BZ91" s="3">
        <f>+BY91</f>
        <v>0</v>
      </c>
      <c r="CA91" s="3" t="s">
        <v>1019</v>
      </c>
      <c r="CB91" s="3" t="e">
        <f>BY92*POWER(AW89,2)/8</f>
        <v>#N/A</v>
      </c>
      <c r="CC91" s="3" t="s">
        <v>189</v>
      </c>
      <c r="CD91" s="3" t="s">
        <v>782</v>
      </c>
      <c r="CE91" s="3" t="e">
        <f>ROUNDUP(+SQRT((CB91+DA92)*6/(AW93*M89/10)),0)</f>
        <v>#N/A</v>
      </c>
      <c r="CJ91" s="63" t="e">
        <f>IF(W90=0.8,VLOOKUP(CW91,$AR$397:$AS$442,2),IF(W90=0.9,VLOOKUP(CW91,$AR$350:$AS$395,2),VLOOKUP(CW91,$AR$303:$AS$348,2)))</f>
        <v>#DIV/0!</v>
      </c>
      <c r="CK91" s="63" t="e">
        <f>IF(W90=0.8,VLOOKUP(CX91,$AT$397:$AU$442,2),IF(W90=0.9,VLOOKUP(CX91,$AT$350:$AU$395,2),VLOOKUP(CX91,$AT$303:$AU$348,2)))</f>
        <v>#VALUE!</v>
      </c>
      <c r="CL91" s="63" t="e">
        <f>IF(W90=0.8,VLOOKUP(CY91,$AR$397:$AS$442,2),IF(W90=0.9,VLOOKUP(CY91,$AR$350:$AS$395,2),VLOOKUP(CY91,$AR$303:$AS$348,2)))</f>
        <v>#DIV/0!</v>
      </c>
      <c r="CM91" s="63" t="e">
        <f>IF(W90=0.8,VLOOKUP(CZ91,$AT$397:$AU$442,2),IF(W90=0.9,VLOOKUP(CZ91,$AT$350:$AU$396,2),VLOOKUP(CZ91,$AT$303:$AU$348,2)))</f>
        <v>#VALUE!</v>
      </c>
      <c r="CN91" s="649" t="e">
        <f>MAX(CJ91:CM91)</f>
        <v>#DIV/0!</v>
      </c>
      <c r="CO91" s="63" t="e">
        <f>ROUNDUP(CS91/$AW93/IF(W90=0,1,W90),1)</f>
        <v>#DIV/0!</v>
      </c>
      <c r="CP91" s="63" t="e">
        <f>ROUNDUP($CT91/($BD93*AT93),2)</f>
        <v>#VALUE!</v>
      </c>
      <c r="CQ91" s="63" t="e">
        <f>ROUNDUP(CU91/$AX93/IF(W90=0,1,W90),1)</f>
        <v>#DIV/0!</v>
      </c>
      <c r="CR91" s="63" t="e">
        <f>ROUNDUP($CV91/($BD93*AT93),2)</f>
        <v>#VALUE!</v>
      </c>
      <c r="CS91" s="63" t="e">
        <f>+CS90</f>
        <v>#DIV/0!</v>
      </c>
      <c r="CT91" s="3" t="e">
        <f>+CT90</f>
        <v>#VALUE!</v>
      </c>
      <c r="CU91" s="3" t="e">
        <f>+CU90</f>
        <v>#DIV/0!</v>
      </c>
      <c r="CV91" s="2" t="e">
        <f>+CV90</f>
        <v>#VALUE!</v>
      </c>
      <c r="CW91" s="548" t="e">
        <f>+CO91</f>
        <v>#DIV/0!</v>
      </c>
      <c r="CX91" s="548" t="e">
        <f>+CP91</f>
        <v>#VALUE!</v>
      </c>
      <c r="CY91" s="548" t="e">
        <f>CQ91</f>
        <v>#DIV/0!</v>
      </c>
      <c r="CZ91" s="548" t="e">
        <f>+CR91</f>
        <v>#VALUE!</v>
      </c>
      <c r="DC91" s="3" t="e">
        <f>5*DA90*POWER(N94,4)/(384*AT92)</f>
        <v>#VALUE!</v>
      </c>
      <c r="DD91" s="3" t="e">
        <f>5*DB90*POWER(N94,4)/(384*AT92)</f>
        <v>#VALUE!</v>
      </c>
      <c r="DE91" s="412" t="s">
        <v>1065</v>
      </c>
      <c r="DF91" s="349" t="s">
        <v>1066</v>
      </c>
      <c r="DG91" s="412" t="s">
        <v>1067</v>
      </c>
      <c r="DH91" s="412" t="s">
        <v>1065</v>
      </c>
      <c r="DI91" s="349" t="s">
        <v>1066</v>
      </c>
      <c r="DJ91" s="412" t="s">
        <v>1067</v>
      </c>
    </row>
    <row r="92" spans="2:117" ht="14.25" customHeight="1" x14ac:dyDescent="0.15">
      <c r="B92" s="1650"/>
      <c r="C92" s="1679" t="s">
        <v>980</v>
      </c>
      <c r="D92" s="1403" t="s">
        <v>961</v>
      </c>
      <c r="E92" s="1404"/>
      <c r="F92" s="1407" t="s">
        <v>964</v>
      </c>
      <c r="G92" s="1408"/>
      <c r="H92" s="1669" t="s">
        <v>1025</v>
      </c>
      <c r="I92" s="1679" t="s">
        <v>970</v>
      </c>
      <c r="J92" s="1277" t="s">
        <v>1060</v>
      </c>
      <c r="K92" s="1671"/>
      <c r="L92" s="1671"/>
      <c r="M92" s="1278"/>
      <c r="N92" s="194"/>
      <c r="O92" s="194"/>
      <c r="P92" s="194"/>
      <c r="Q92" s="1342"/>
      <c r="R92" s="1406"/>
      <c r="S92" s="877" t="s">
        <v>1265</v>
      </c>
      <c r="T92" s="877" t="s">
        <v>1266</v>
      </c>
      <c r="U92" s="877" t="s">
        <v>1267</v>
      </c>
      <c r="V92" s="877" t="s">
        <v>1260</v>
      </c>
      <c r="W92" s="877" t="s">
        <v>1268</v>
      </c>
      <c r="X92" s="440" t="s">
        <v>1151</v>
      </c>
      <c r="Y92" s="440" t="s">
        <v>1153</v>
      </c>
      <c r="Z92" s="194"/>
      <c r="AA92" s="194"/>
      <c r="AB92" s="194"/>
      <c r="AC92" s="194"/>
      <c r="AD92" s="194"/>
      <c r="AE92" s="194"/>
      <c r="AF92" s="194"/>
      <c r="AG92" s="194"/>
      <c r="AH92" s="194"/>
      <c r="AI92" s="194"/>
      <c r="AJ92" s="194"/>
      <c r="AK92" s="194"/>
      <c r="AL92" s="181"/>
      <c r="AM92" s="302"/>
      <c r="AQ92" s="3" t="s">
        <v>15</v>
      </c>
      <c r="AR92" s="3" t="e">
        <f>+VALUE(RIGHT(L89,4))</f>
        <v>#VALUE!</v>
      </c>
      <c r="AS92" s="615" t="s">
        <v>880</v>
      </c>
      <c r="AT92" s="642" t="e">
        <f>+VLOOKUP(VALUE(RIGHT(L89,4)),許容応力!$B$6:$K$22,10)*100</f>
        <v>#VALUE!</v>
      </c>
      <c r="AU92" s="615" t="s">
        <v>881</v>
      </c>
      <c r="AV92" s="520">
        <f>+BN91</f>
        <v>0</v>
      </c>
      <c r="AW92" s="3" t="s">
        <v>997</v>
      </c>
      <c r="AX92" s="3" t="s">
        <v>294</v>
      </c>
      <c r="AY92" s="52" t="s">
        <v>498</v>
      </c>
      <c r="AZ92" s="52" t="s">
        <v>499</v>
      </c>
      <c r="BA92" s="52" t="s">
        <v>500</v>
      </c>
      <c r="BB92" s="52" t="s">
        <v>501</v>
      </c>
      <c r="BC92" s="803" t="s">
        <v>295</v>
      </c>
      <c r="BD92" s="803" t="s">
        <v>296</v>
      </c>
      <c r="BE92" s="52" t="s">
        <v>287</v>
      </c>
      <c r="BF92" s="803" t="s">
        <v>288</v>
      </c>
      <c r="BG92" s="52" t="s">
        <v>490</v>
      </c>
      <c r="BH92" s="52" t="s">
        <v>289</v>
      </c>
      <c r="BI92" s="803" t="s">
        <v>290</v>
      </c>
      <c r="BJ92" s="52" t="s">
        <v>493</v>
      </c>
      <c r="BK92" s="803" t="s">
        <v>291</v>
      </c>
      <c r="BL92" s="803" t="s">
        <v>292</v>
      </c>
      <c r="BM92" s="412" t="s">
        <v>1020</v>
      </c>
      <c r="BN92" s="412" t="s">
        <v>1021</v>
      </c>
      <c r="BU92" s="3" t="s">
        <v>1002</v>
      </c>
      <c r="BV92" s="3">
        <f>IF(E95=0,0,+VALUE(RIGHT(E95,4)))</f>
        <v>0</v>
      </c>
      <c r="BX92" s="3" t="s">
        <v>1011</v>
      </c>
      <c r="BY92" s="3" t="e">
        <f>+BY90+BY91</f>
        <v>#N/A</v>
      </c>
      <c r="BZ92" s="3" t="e">
        <f>+BZ90+BZ91</f>
        <v>#N/A</v>
      </c>
      <c r="CA92" s="3" t="s">
        <v>1018</v>
      </c>
      <c r="CB92" s="3" t="e">
        <f>+BY92*AW89/2</f>
        <v>#N/A</v>
      </c>
      <c r="CC92" s="3" t="e">
        <f>5*BY92*POWER(AW89,4)/(384*AT92)</f>
        <v>#N/A</v>
      </c>
      <c r="CD92" s="803" t="s">
        <v>291</v>
      </c>
      <c r="CE92" s="3" t="e">
        <f>ROUND(M89/10*POWER(CE91,2)/6,0)</f>
        <v>#N/A</v>
      </c>
      <c r="CZ92" s="3" t="s">
        <v>1019</v>
      </c>
      <c r="DA92" s="3">
        <f>+DA90*POWER(M94*100,2)/8</f>
        <v>0</v>
      </c>
      <c r="DB92" s="3" t="e">
        <f>+DB90*POWER(M94*100,2)/8</f>
        <v>#VALUE!</v>
      </c>
      <c r="DE92" s="3" t="e">
        <f>ROUND(DE89/AW93,2)</f>
        <v>#N/A</v>
      </c>
      <c r="DF92" s="3" t="e">
        <f>ROUND(DF89/BD93,2)</f>
        <v>#N/A</v>
      </c>
      <c r="DG92" s="3" t="e">
        <f>ROUND(DG89/AY93,2)</f>
        <v>#N/A</v>
      </c>
      <c r="DH92" s="3" t="e">
        <f>ROUND(DH89/AX93,2)</f>
        <v>#N/A</v>
      </c>
      <c r="DI92" s="3" t="e">
        <f>ROUND(DF89/BD93,2)</f>
        <v>#N/A</v>
      </c>
      <c r="DJ92" s="3" t="e">
        <f>ROUND(DG89/AZ93,2)</f>
        <v>#N/A</v>
      </c>
    </row>
    <row r="93" spans="2:117" x14ac:dyDescent="0.15">
      <c r="B93" s="1650"/>
      <c r="C93" s="1409"/>
      <c r="D93" s="1405"/>
      <c r="E93" s="1406"/>
      <c r="F93" s="411" t="s">
        <v>971</v>
      </c>
      <c r="G93" s="591" t="s">
        <v>972</v>
      </c>
      <c r="H93" s="1254"/>
      <c r="I93" s="1409"/>
      <c r="J93" s="586" t="s">
        <v>965</v>
      </c>
      <c r="K93" s="586" t="s">
        <v>1022</v>
      </c>
      <c r="L93" s="586" t="s">
        <v>966</v>
      </c>
      <c r="M93" s="470" t="s">
        <v>1026</v>
      </c>
      <c r="N93" s="194"/>
      <c r="O93" s="194"/>
      <c r="P93" s="194"/>
      <c r="Q93" s="1382"/>
      <c r="R93" s="1406"/>
      <c r="S93" s="1029"/>
      <c r="T93" s="1029"/>
      <c r="U93" s="882">
        <f>+IF(T93=0,0,6)</f>
        <v>0</v>
      </c>
      <c r="V93" s="1029"/>
      <c r="W93" s="1029"/>
      <c r="X93" s="1018">
        <f>IF(W93=0,0,+R170)</f>
        <v>0</v>
      </c>
      <c r="Y93" s="574">
        <f>IF(W93=0,0,+VLOOKUP(X93,$I$189:$J$194,2))</f>
        <v>0</v>
      </c>
      <c r="Z93" s="194"/>
      <c r="AA93" s="194"/>
      <c r="AB93" s="194"/>
      <c r="AC93" s="194"/>
      <c r="AD93" s="194"/>
      <c r="AE93" s="194"/>
      <c r="AF93" s="194"/>
      <c r="AG93" s="194"/>
      <c r="AH93" s="194"/>
      <c r="AI93" s="194"/>
      <c r="AJ93" s="194"/>
      <c r="AK93" s="194"/>
      <c r="AL93" s="181"/>
      <c r="AM93" s="302"/>
      <c r="AQ93" s="638" t="s">
        <v>1055</v>
      </c>
      <c r="AR93" s="409">
        <f>+VALUE(RIGHT($G$52,3))</f>
        <v>2</v>
      </c>
      <c r="AS93" s="520" t="s">
        <v>241</v>
      </c>
      <c r="AT93" s="3">
        <f>+IF(OR(W90=0,W90=1),1,W90)</f>
        <v>1</v>
      </c>
      <c r="AW93" s="10" t="e">
        <f>IF(AR93=2,ROUND(VLOOKUP(AR92,許容応力!$B$6:$K$22,7)*1.1/3*100,0),ROUND(VLOOKUP(AR92,許容応力!$B$6:$K$22,7)*1.1/3*1.3*100,0))</f>
        <v>#VALUE!</v>
      </c>
      <c r="AX93" s="63" t="e">
        <f>ROUND(VLOOKUP(AR92,許容応力!$B$6:$K$22,7)*100*2/3*0.8,0)</f>
        <v>#VALUE!</v>
      </c>
      <c r="AY93" s="10" t="e">
        <f>IF(AR93=2,ROUND(VLOOKUP(AR92,許容応力!$B$6:$K$22,8)*1.1/3*100,0),ROUND(VLOOKUP(AR92,許容応力!$B$6:$K$22,8)*1.1/3*1.3*100,0))</f>
        <v>#VALUE!</v>
      </c>
      <c r="AZ93" s="63" t="e">
        <f>ROUND(VLOOKUP(AR92,許容応力!$B$6:$K$22,8)*100*2/3*0.8,0)</f>
        <v>#VALUE!</v>
      </c>
      <c r="BA93" s="10" t="e">
        <f>IF(AR93=2,ROUND(VLOOKUP(AR92,許容応力!$B$6:$K$22,9)*1.1/3*100,0),ROUND(VLOOKUP(AR92,許容応力!$B$6:$K$22,9)*1.1/3*1.3*100,0))</f>
        <v>#VALUE!</v>
      </c>
      <c r="BB93" s="63" t="e">
        <f>ROUND(VLOOKUP(AR92,許容応力!$B$6:$K$22,9)*100*2/3*0.8,0)</f>
        <v>#VALUE!</v>
      </c>
      <c r="BC93" s="63">
        <f>IF(AR93=2,400,200)</f>
        <v>400</v>
      </c>
      <c r="BD93" s="63">
        <f>ROUND(AW89/BC93,2)</f>
        <v>0</v>
      </c>
      <c r="BE93" s="3" t="e">
        <f>ROUND(($AY91+CB91+DA92)/$BK93,1)</f>
        <v>#DIV/0!</v>
      </c>
      <c r="BF93" s="3" t="e">
        <f>ROUND(($CT90)/$BL93,2)</f>
        <v>#VALUE!</v>
      </c>
      <c r="BG93" s="63" t="e">
        <f>ROUND((BC91+CB92+DA93)/AY93,1)</f>
        <v>#DIV/0!</v>
      </c>
      <c r="BH93" s="3" t="e">
        <f>ROUND(($BA91+CB91+DB92)/$BK93,1)</f>
        <v>#DIV/0!</v>
      </c>
      <c r="BI93" s="3" t="e">
        <f>ROUNDDOWN(($CV90)/$BL93,1)</f>
        <v>#VALUE!</v>
      </c>
      <c r="BJ93" s="63" t="e">
        <f>ROUND((BE91+CB92+DB93)/AZ93,1)</f>
        <v>#DIV/0!</v>
      </c>
      <c r="BK93" s="63">
        <f>ROUNDDOWN(M89/10*POWER(O89/10,2)/6*IF(OR(W89=0,W89=1),1,W89),0)</f>
        <v>0</v>
      </c>
      <c r="BL93" s="63">
        <f>ROUNDDOWN(M89/10*POWER(O89/10,3)/12*IF(OR(W89=0,W89=1),1,W89),0)</f>
        <v>0</v>
      </c>
      <c r="BM93" s="63" t="e">
        <f>ROUND(BC91/(BA93*AH89),1)</f>
        <v>#DIV/0!</v>
      </c>
      <c r="BN93" s="63" t="e">
        <f>ROUND(BE91/(BB93*AH89),1)</f>
        <v>#DIV/0!</v>
      </c>
      <c r="CD93" s="803" t="s">
        <v>292</v>
      </c>
      <c r="CE93" s="3" t="e">
        <f>ROUND(M89/10*POWER(CE91,3)/12,0)</f>
        <v>#N/A</v>
      </c>
      <c r="CZ93" s="3" t="s">
        <v>1018</v>
      </c>
      <c r="DA93" s="3">
        <f>+DA90*M94*100/2</f>
        <v>0</v>
      </c>
      <c r="DB93" s="3" t="e">
        <f>+DB90*M94*100/2</f>
        <v>#VALUE!</v>
      </c>
      <c r="DE93" s="3" t="e">
        <f t="shared" ref="DE93:DJ93" si="33">+DE92</f>
        <v>#N/A</v>
      </c>
      <c r="DF93" s="3" t="e">
        <f t="shared" si="33"/>
        <v>#N/A</v>
      </c>
      <c r="DG93" s="3" t="e">
        <f t="shared" si="33"/>
        <v>#N/A</v>
      </c>
      <c r="DH93" s="3" t="e">
        <f t="shared" si="33"/>
        <v>#N/A</v>
      </c>
      <c r="DI93" s="3" t="e">
        <f t="shared" si="33"/>
        <v>#N/A</v>
      </c>
      <c r="DJ93" s="3" t="e">
        <f t="shared" si="33"/>
        <v>#N/A</v>
      </c>
    </row>
    <row r="94" spans="2:117" x14ac:dyDescent="0.15">
      <c r="B94" s="1650"/>
      <c r="C94" s="1410"/>
      <c r="D94" s="1322"/>
      <c r="E94" s="1211"/>
      <c r="F94" s="1028"/>
      <c r="G94" s="1028"/>
      <c r="H94" s="440">
        <f>ROUND((F94+G94)/2,2)</f>
        <v>0</v>
      </c>
      <c r="I94" s="1410"/>
      <c r="J94" s="1028"/>
      <c r="K94" s="476"/>
      <c r="L94" s="1028"/>
      <c r="M94" s="471">
        <f>SUM(J94:L94)</f>
        <v>0</v>
      </c>
      <c r="N94" s="440">
        <f>+M94*100</f>
        <v>0</v>
      </c>
      <c r="O94" s="302"/>
      <c r="P94" s="302"/>
      <c r="Q94" s="302"/>
      <c r="R94" s="302"/>
      <c r="S94" s="302"/>
      <c r="T94" s="302"/>
      <c r="U94" s="302"/>
      <c r="V94" s="302"/>
      <c r="W94" s="302"/>
      <c r="X94" s="1024">
        <f>IF(W93=0,0,+R169)</f>
        <v>0</v>
      </c>
      <c r="Y94" s="302"/>
      <c r="Z94" s="302"/>
      <c r="AA94" s="302"/>
      <c r="AB94" s="302"/>
      <c r="AC94" s="302"/>
      <c r="AD94" s="302"/>
      <c r="AE94" s="302"/>
      <c r="AF94" s="302"/>
      <c r="AG94" s="302"/>
      <c r="AH94" s="302"/>
      <c r="AI94" s="302"/>
      <c r="AJ94" s="302"/>
      <c r="AK94" s="302"/>
      <c r="AL94" s="181"/>
      <c r="AM94" s="302"/>
      <c r="AW94" s="3" t="e">
        <f>+AW93</f>
        <v>#VALUE!</v>
      </c>
      <c r="AX94" s="3" t="e">
        <f t="shared" ref="AX94:BD94" si="34">+AX93</f>
        <v>#VALUE!</v>
      </c>
      <c r="AY94" s="3" t="e">
        <f t="shared" si="34"/>
        <v>#VALUE!</v>
      </c>
      <c r="AZ94" s="3" t="e">
        <f t="shared" si="34"/>
        <v>#VALUE!</v>
      </c>
      <c r="BA94" s="3" t="e">
        <f t="shared" si="34"/>
        <v>#VALUE!</v>
      </c>
      <c r="BB94" s="3" t="e">
        <f t="shared" si="34"/>
        <v>#VALUE!</v>
      </c>
      <c r="BC94" s="3">
        <f t="shared" si="34"/>
        <v>400</v>
      </c>
      <c r="BD94" s="3">
        <f t="shared" si="34"/>
        <v>0</v>
      </c>
      <c r="BE94" s="3" t="e">
        <f>ROUND((CB91+$AY91+DA92)/$BK94,1)</f>
        <v>#N/A</v>
      </c>
      <c r="BF94" s="3" t="e">
        <f>ROUND(($CT91)/$BL94,2)</f>
        <v>#VALUE!</v>
      </c>
      <c r="BG94" s="63" t="e">
        <f>ROUND((BC91+CB92+DA93)/AY93,1)</f>
        <v>#DIV/0!</v>
      </c>
      <c r="BH94" s="3" t="e">
        <f>ROUND(($BA91+CB91+DB92)/$BK94,1)</f>
        <v>#DIV/0!</v>
      </c>
      <c r="BI94" s="3" t="e">
        <f>ROUND(($CV91)/$BL94,2)</f>
        <v>#VALUE!</v>
      </c>
      <c r="BJ94" s="63" t="e">
        <f>ROUND((BE91+CB92+DB93)/AZ93,1)</f>
        <v>#DIV/0!</v>
      </c>
      <c r="BK94" s="63">
        <f>IF(O90&lt;180,ROUND((O90/10-3)*POWER(O90/10-3,2)/6*IF(EX90=0,1,W90),0),ROUND((O90/10-5)*POWER((O90/10-3),2)/6*IF(W90=0,1,W90),0))</f>
        <v>-5</v>
      </c>
      <c r="BL94" s="63">
        <f>ROUND(IF(O90&lt;180,(O90/10-3)*POWER((O90/10-3),3)/12*IF(W90=0,1,W90),(O90/10-5))*POWER((O90/10-3),3)/12*IF(W90=0,1,W90),0)</f>
        <v>-15</v>
      </c>
      <c r="BM94" s="63" t="e">
        <f>+BM93</f>
        <v>#DIV/0!</v>
      </c>
      <c r="BN94" s="63" t="e">
        <f>+BN93</f>
        <v>#DIV/0!</v>
      </c>
    </row>
    <row r="95" spans="2:117" ht="15" thickBot="1" x14ac:dyDescent="0.2">
      <c r="B95" s="1651"/>
      <c r="C95" s="1411" t="s">
        <v>1002</v>
      </c>
      <c r="D95" s="1412"/>
      <c r="E95" s="1150"/>
      <c r="F95" s="472" t="s">
        <v>1003</v>
      </c>
      <c r="G95" s="1136"/>
      <c r="H95" s="459" t="s">
        <v>1004</v>
      </c>
      <c r="I95" s="460"/>
      <c r="J95" s="466"/>
      <c r="K95" s="473"/>
      <c r="L95" s="473"/>
      <c r="M95" s="473"/>
      <c r="N95" s="473"/>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175"/>
      <c r="AM95" s="302"/>
    </row>
    <row r="154" spans="6:29" ht="14.25" customHeight="1" x14ac:dyDescent="0.15"/>
    <row r="155" spans="6:29" ht="14.25" customHeight="1" x14ac:dyDescent="0.15"/>
    <row r="156" spans="6:29" ht="14.25" customHeight="1" x14ac:dyDescent="0.15"/>
    <row r="157" spans="6:29" hidden="1" x14ac:dyDescent="0.15">
      <c r="F157" s="194"/>
      <c r="G157" s="194"/>
      <c r="H157" s="194" t="s">
        <v>1134</v>
      </c>
      <c r="I157" s="544">
        <v>1</v>
      </c>
      <c r="J157" s="544">
        <v>1</v>
      </c>
      <c r="K157" s="544">
        <v>1</v>
      </c>
      <c r="L157" s="544">
        <v>1</v>
      </c>
      <c r="M157" s="544">
        <v>1</v>
      </c>
      <c r="N157" s="544">
        <v>1</v>
      </c>
      <c r="O157" s="544">
        <v>1</v>
      </c>
      <c r="P157" s="544">
        <v>1</v>
      </c>
      <c r="Q157" s="544">
        <v>1</v>
      </c>
      <c r="R157" s="544">
        <v>1</v>
      </c>
      <c r="S157" s="659"/>
      <c r="T157" s="98"/>
      <c r="U157" s="98"/>
      <c r="V157" s="98"/>
      <c r="W157" s="98"/>
      <c r="X157" s="98"/>
      <c r="Y157" s="98"/>
      <c r="Z157" s="98"/>
      <c r="AA157" s="98"/>
      <c r="AB157" s="98"/>
      <c r="AC157" s="98"/>
    </row>
    <row r="158" spans="6:29" hidden="1" x14ac:dyDescent="0.15">
      <c r="F158" s="194"/>
      <c r="G158" s="194"/>
      <c r="H158" s="194" t="s">
        <v>1133</v>
      </c>
      <c r="I158" s="547">
        <f t="shared" ref="I158:R158" si="35">IF(I202=0,0,+VLOOKUP(I202,$G$197:$J$201,3))</f>
        <v>0</v>
      </c>
      <c r="J158" s="547">
        <f t="shared" si="35"/>
        <v>0</v>
      </c>
      <c r="K158" s="547">
        <f t="shared" si="35"/>
        <v>0</v>
      </c>
      <c r="L158" s="547">
        <f t="shared" si="35"/>
        <v>0</v>
      </c>
      <c r="M158" s="547">
        <f t="shared" si="35"/>
        <v>0</v>
      </c>
      <c r="N158" s="547">
        <f t="shared" si="35"/>
        <v>0</v>
      </c>
      <c r="O158" s="547">
        <f t="shared" si="35"/>
        <v>0</v>
      </c>
      <c r="P158" s="547">
        <f t="shared" si="35"/>
        <v>0</v>
      </c>
      <c r="Q158" s="547">
        <f t="shared" si="35"/>
        <v>0</v>
      </c>
      <c r="R158" s="547">
        <f t="shared" si="35"/>
        <v>0</v>
      </c>
      <c r="S158" s="598"/>
      <c r="T158" s="599"/>
      <c r="U158" s="599"/>
      <c r="V158" s="599"/>
      <c r="W158" s="599"/>
      <c r="X158" s="599"/>
      <c r="Y158" s="599"/>
      <c r="Z158" s="599"/>
      <c r="AA158" s="599"/>
      <c r="AB158" s="599"/>
      <c r="AC158" s="599"/>
    </row>
    <row r="159" spans="6:29" hidden="1" x14ac:dyDescent="0.15">
      <c r="F159" s="194"/>
      <c r="G159" s="194"/>
      <c r="H159" s="440" t="s">
        <v>1136</v>
      </c>
      <c r="I159" s="547">
        <f t="shared" ref="I159:R159" si="36">IF(I202=0,0,+VLOOKUP(I202,$G$197:$J$201,2))</f>
        <v>0</v>
      </c>
      <c r="J159" s="547">
        <f t="shared" si="36"/>
        <v>0</v>
      </c>
      <c r="K159" s="547">
        <f t="shared" si="36"/>
        <v>0</v>
      </c>
      <c r="L159" s="547">
        <f t="shared" si="36"/>
        <v>0</v>
      </c>
      <c r="M159" s="547">
        <f t="shared" si="36"/>
        <v>0</v>
      </c>
      <c r="N159" s="547">
        <f t="shared" si="36"/>
        <v>0</v>
      </c>
      <c r="O159" s="547">
        <f t="shared" si="36"/>
        <v>0</v>
      </c>
      <c r="P159" s="547">
        <f t="shared" si="36"/>
        <v>0</v>
      </c>
      <c r="Q159" s="547">
        <f t="shared" si="36"/>
        <v>0</v>
      </c>
      <c r="R159" s="547">
        <f t="shared" si="36"/>
        <v>0</v>
      </c>
      <c r="S159" s="598"/>
      <c r="T159" s="599"/>
      <c r="U159" s="599"/>
      <c r="V159" s="599"/>
      <c r="W159" s="599"/>
      <c r="X159" s="599"/>
      <c r="Y159" s="599"/>
      <c r="Z159" s="599"/>
      <c r="AA159" s="599"/>
      <c r="AB159" s="599"/>
      <c r="AC159" s="599"/>
    </row>
    <row r="160" spans="6:29" hidden="1" x14ac:dyDescent="0.15">
      <c r="F160" s="194"/>
      <c r="G160" s="194"/>
      <c r="H160" s="440" t="s">
        <v>1137</v>
      </c>
      <c r="I160" s="547">
        <f t="shared" ref="I160:R160" si="37">IF(I202=0,0,+VLOOKUP(I202,$G$197:$J$201,4))</f>
        <v>0</v>
      </c>
      <c r="J160" s="547">
        <f t="shared" si="37"/>
        <v>0</v>
      </c>
      <c r="K160" s="547">
        <f t="shared" si="37"/>
        <v>0</v>
      </c>
      <c r="L160" s="547">
        <f t="shared" si="37"/>
        <v>0</v>
      </c>
      <c r="M160" s="547">
        <f t="shared" si="37"/>
        <v>0</v>
      </c>
      <c r="N160" s="547">
        <f t="shared" si="37"/>
        <v>0</v>
      </c>
      <c r="O160" s="547">
        <f t="shared" si="37"/>
        <v>0</v>
      </c>
      <c r="P160" s="547">
        <f t="shared" si="37"/>
        <v>0</v>
      </c>
      <c r="Q160" s="547">
        <f t="shared" si="37"/>
        <v>0</v>
      </c>
      <c r="R160" s="547">
        <f t="shared" si="37"/>
        <v>0</v>
      </c>
      <c r="S160" s="598"/>
      <c r="T160" s="599"/>
      <c r="U160" s="599"/>
      <c r="V160" s="599"/>
      <c r="W160" s="599"/>
      <c r="X160" s="599"/>
      <c r="Y160" s="599"/>
      <c r="Z160" s="599"/>
      <c r="AA160" s="599"/>
      <c r="AB160" s="599"/>
      <c r="AC160" s="599"/>
    </row>
    <row r="161" spans="6:29" hidden="1" x14ac:dyDescent="0.15">
      <c r="F161" s="194"/>
      <c r="G161" s="194"/>
      <c r="H161" s="194"/>
      <c r="I161" s="545">
        <f>+$K15</f>
        <v>0</v>
      </c>
      <c r="J161" s="545">
        <f>+K21</f>
        <v>0</v>
      </c>
      <c r="K161" s="545">
        <f>+K27</f>
        <v>0</v>
      </c>
      <c r="L161" s="545">
        <f>+K33</f>
        <v>0</v>
      </c>
      <c r="M161" s="545">
        <f>+K39</f>
        <v>0</v>
      </c>
      <c r="N161" s="545">
        <f>+L57</f>
        <v>0</v>
      </c>
      <c r="O161" s="545">
        <f>+L65</f>
        <v>0</v>
      </c>
      <c r="P161" s="545">
        <f>+L73</f>
        <v>0</v>
      </c>
      <c r="Q161" s="545">
        <f>+L81</f>
        <v>0</v>
      </c>
      <c r="R161" s="545">
        <f>+L89</f>
        <v>0</v>
      </c>
      <c r="S161" s="601"/>
      <c r="T161" s="9"/>
      <c r="U161" s="9"/>
      <c r="V161" s="9"/>
      <c r="W161" s="9"/>
      <c r="X161" s="9"/>
      <c r="Y161" s="9"/>
      <c r="Z161" s="9"/>
      <c r="AA161" s="9"/>
      <c r="AB161" s="9"/>
      <c r="AC161" s="9"/>
    </row>
    <row r="162" spans="6:29" hidden="1" x14ac:dyDescent="0.15">
      <c r="F162" s="194"/>
      <c r="G162" s="539" t="s">
        <v>1107</v>
      </c>
      <c r="H162" s="457"/>
      <c r="I162" s="440" t="s">
        <v>1138</v>
      </c>
      <c r="J162" s="440" t="s">
        <v>1139</v>
      </c>
      <c r="K162" s="440" t="s">
        <v>1140</v>
      </c>
      <c r="L162" s="440" t="s">
        <v>1141</v>
      </c>
      <c r="M162" s="440" t="s">
        <v>1142</v>
      </c>
      <c r="N162" s="440" t="s">
        <v>1143</v>
      </c>
      <c r="O162" s="440" t="s">
        <v>1158</v>
      </c>
      <c r="P162" s="440" t="s">
        <v>1159</v>
      </c>
      <c r="Q162" s="440" t="s">
        <v>1160</v>
      </c>
      <c r="R162" s="440" t="s">
        <v>1161</v>
      </c>
      <c r="S162" s="600"/>
      <c r="T162" s="576"/>
      <c r="U162" s="576"/>
      <c r="V162" s="576"/>
      <c r="W162" s="576"/>
      <c r="X162" s="576"/>
      <c r="Y162" s="576"/>
      <c r="Z162" s="576"/>
      <c r="AA162" s="576"/>
      <c r="AB162" s="576"/>
      <c r="AC162" s="576"/>
    </row>
    <row r="163" spans="6:29" hidden="1" x14ac:dyDescent="0.15">
      <c r="F163" s="194"/>
      <c r="G163" s="540" t="s">
        <v>1108</v>
      </c>
      <c r="H163" s="541"/>
      <c r="I163" s="540">
        <f>+R19*10</f>
        <v>0</v>
      </c>
      <c r="J163" s="540">
        <f>+$R25*10</f>
        <v>0</v>
      </c>
      <c r="K163" s="540">
        <f>+$R31*10</f>
        <v>0</v>
      </c>
      <c r="L163" s="540">
        <f>+$R37*10</f>
        <v>0</v>
      </c>
      <c r="M163" s="650">
        <f>+$R43*10</f>
        <v>0</v>
      </c>
      <c r="N163" s="540">
        <f>+$S$61*10</f>
        <v>0</v>
      </c>
      <c r="O163" s="540">
        <f>+$S$69*10</f>
        <v>0</v>
      </c>
      <c r="P163" s="540">
        <f>+$S$77*10</f>
        <v>0</v>
      </c>
      <c r="Q163" s="540">
        <f>+$S$85*10</f>
        <v>0</v>
      </c>
      <c r="R163" s="540">
        <f>+$S$93*10</f>
        <v>0</v>
      </c>
      <c r="S163" s="601"/>
      <c r="T163" s="9"/>
      <c r="U163" s="9"/>
      <c r="V163" s="9"/>
      <c r="W163" s="9"/>
      <c r="X163" s="9"/>
      <c r="Y163" s="9"/>
      <c r="Z163" s="9"/>
      <c r="AA163" s="9"/>
      <c r="AB163" s="9"/>
      <c r="AC163" s="9"/>
    </row>
    <row r="164" spans="6:29" hidden="1" x14ac:dyDescent="0.15">
      <c r="F164" s="194"/>
      <c r="G164" s="539" t="s">
        <v>1144</v>
      </c>
      <c r="H164" s="542" t="s">
        <v>1145</v>
      </c>
      <c r="I164" s="539">
        <f>+S19*10</f>
        <v>0</v>
      </c>
      <c r="J164" s="539">
        <f>+$S25*10</f>
        <v>0</v>
      </c>
      <c r="K164" s="539">
        <f>+$S31*10</f>
        <v>0</v>
      </c>
      <c r="L164" s="539">
        <f>+$S37*10</f>
        <v>0</v>
      </c>
      <c r="M164" s="539">
        <f>+$S43*10</f>
        <v>0</v>
      </c>
      <c r="N164" s="539">
        <f>+$T$61*10</f>
        <v>0</v>
      </c>
      <c r="O164" s="539">
        <f>+$T$69*10</f>
        <v>0</v>
      </c>
      <c r="P164" s="539">
        <f>+$T$77*10</f>
        <v>0</v>
      </c>
      <c r="Q164" s="539">
        <f>+$T$85*10</f>
        <v>0</v>
      </c>
      <c r="R164" s="539">
        <f>+$T$93*10</f>
        <v>0</v>
      </c>
      <c r="S164" s="601"/>
      <c r="T164" s="9"/>
      <c r="U164" s="9"/>
      <c r="V164" s="9"/>
      <c r="W164" s="9"/>
      <c r="X164" s="9"/>
      <c r="Y164" s="9"/>
      <c r="Z164" s="9"/>
      <c r="AA164" s="9"/>
      <c r="AB164" s="9"/>
      <c r="AC164" s="9"/>
    </row>
    <row r="165" spans="6:29" hidden="1" x14ac:dyDescent="0.15">
      <c r="F165" s="194"/>
      <c r="G165" s="539" t="s">
        <v>1146</v>
      </c>
      <c r="H165" s="542" t="s">
        <v>1145</v>
      </c>
      <c r="I165" s="539">
        <f>+T19*10</f>
        <v>0</v>
      </c>
      <c r="J165" s="539">
        <f>+$T25*10</f>
        <v>0</v>
      </c>
      <c r="K165" s="539">
        <f>+$T31*10</f>
        <v>0</v>
      </c>
      <c r="L165" s="539">
        <f>+$T37*10</f>
        <v>0</v>
      </c>
      <c r="M165" s="539">
        <f>+$T43*10</f>
        <v>0</v>
      </c>
      <c r="N165" s="539">
        <f>+$U$61*10</f>
        <v>0</v>
      </c>
      <c r="O165" s="539">
        <f>+$U$69*10</f>
        <v>0</v>
      </c>
      <c r="P165" s="539">
        <f>+$U$77*10</f>
        <v>0</v>
      </c>
      <c r="Q165" s="539">
        <f>+$U$85*10</f>
        <v>0</v>
      </c>
      <c r="R165" s="539">
        <f>+$U$93*10</f>
        <v>0</v>
      </c>
      <c r="S165" s="601"/>
      <c r="T165" s="9"/>
      <c r="U165" s="9"/>
      <c r="V165" s="9"/>
      <c r="W165" s="9"/>
      <c r="X165" s="9"/>
      <c r="Y165" s="9"/>
      <c r="Z165" s="9"/>
      <c r="AA165" s="9"/>
      <c r="AB165" s="9"/>
      <c r="AC165" s="9"/>
    </row>
    <row r="166" spans="6:29" hidden="1" x14ac:dyDescent="0.15">
      <c r="F166" s="194"/>
      <c r="G166" s="539" t="s">
        <v>1147</v>
      </c>
      <c r="H166" s="542" t="s">
        <v>1145</v>
      </c>
      <c r="I166" s="539">
        <f>+U19*10</f>
        <v>0</v>
      </c>
      <c r="J166" s="539">
        <f>+$U25*10</f>
        <v>0</v>
      </c>
      <c r="K166" s="539">
        <f>+$U31*10</f>
        <v>0</v>
      </c>
      <c r="L166" s="539">
        <f>+$U37*10</f>
        <v>0</v>
      </c>
      <c r="M166" s="539">
        <f>+$U43*10</f>
        <v>0</v>
      </c>
      <c r="N166" s="539">
        <f>+$V$61*10</f>
        <v>0</v>
      </c>
      <c r="O166" s="539">
        <f>+$V$69*10</f>
        <v>0</v>
      </c>
      <c r="P166" s="539">
        <f>+$V$77*10</f>
        <v>0</v>
      </c>
      <c r="Q166" s="539">
        <f>+$V$85*10</f>
        <v>0</v>
      </c>
      <c r="R166" s="539">
        <f>+$V$93*10</f>
        <v>0</v>
      </c>
      <c r="S166" s="601"/>
      <c r="T166" s="9"/>
      <c r="U166" s="9"/>
      <c r="V166" s="9"/>
      <c r="W166" s="9"/>
      <c r="X166" s="9"/>
      <c r="Y166" s="9"/>
      <c r="Z166" s="9"/>
      <c r="AA166" s="9"/>
      <c r="AB166" s="9"/>
      <c r="AC166" s="9"/>
    </row>
    <row r="167" spans="6:29" hidden="1" x14ac:dyDescent="0.15">
      <c r="F167" s="194"/>
      <c r="G167" s="539" t="s">
        <v>1148</v>
      </c>
      <c r="H167" s="542" t="s">
        <v>1145</v>
      </c>
      <c r="I167" s="539">
        <f>+V19*10</f>
        <v>0</v>
      </c>
      <c r="J167" s="539">
        <f>+$V25*10</f>
        <v>0</v>
      </c>
      <c r="K167" s="539">
        <f>+$V31*10</f>
        <v>0</v>
      </c>
      <c r="L167" s="539">
        <f>+$V37*10</f>
        <v>0</v>
      </c>
      <c r="M167" s="539">
        <f>+$V43*10</f>
        <v>0</v>
      </c>
      <c r="N167" s="539">
        <f>+$W$61*10</f>
        <v>0</v>
      </c>
      <c r="O167" s="539">
        <f>+$W$69*10</f>
        <v>0</v>
      </c>
      <c r="P167" s="539">
        <f>+$W$77*10</f>
        <v>0</v>
      </c>
      <c r="Q167" s="539">
        <f>+$W$85*10</f>
        <v>0</v>
      </c>
      <c r="R167" s="539">
        <f>+$W$93*10</f>
        <v>0</v>
      </c>
      <c r="S167" s="601"/>
      <c r="T167" s="9"/>
      <c r="U167" s="9"/>
      <c r="V167" s="9"/>
      <c r="W167" s="9"/>
      <c r="X167" s="9"/>
      <c r="Y167" s="9"/>
      <c r="Z167" s="9"/>
      <c r="AA167" s="9"/>
      <c r="AB167" s="9"/>
      <c r="AC167" s="9"/>
    </row>
    <row r="168" spans="6:29" hidden="1" x14ac:dyDescent="0.15">
      <c r="F168" s="194"/>
      <c r="G168" s="539" t="s">
        <v>1149</v>
      </c>
      <c r="H168" s="542" t="s">
        <v>1145</v>
      </c>
      <c r="I168" s="539" t="str">
        <f>IF(I166=0,+"",ROUND((I166-I167)/2,0))</f>
        <v/>
      </c>
      <c r="J168" s="539" t="str">
        <f t="shared" ref="J168:R168" si="38">IF(J166=0,+"",ROUND((J166-J167)/2,0))</f>
        <v/>
      </c>
      <c r="K168" s="539" t="str">
        <f t="shared" si="38"/>
        <v/>
      </c>
      <c r="L168" s="539" t="str">
        <f t="shared" si="38"/>
        <v/>
      </c>
      <c r="M168" s="539" t="str">
        <f t="shared" si="38"/>
        <v/>
      </c>
      <c r="N168" s="539" t="str">
        <f t="shared" si="38"/>
        <v/>
      </c>
      <c r="O168" s="539" t="str">
        <f t="shared" si="38"/>
        <v/>
      </c>
      <c r="P168" s="539" t="str">
        <f t="shared" si="38"/>
        <v/>
      </c>
      <c r="Q168" s="539" t="str">
        <f t="shared" si="38"/>
        <v/>
      </c>
      <c r="R168" s="539" t="str">
        <f t="shared" si="38"/>
        <v/>
      </c>
      <c r="S168" s="601"/>
      <c r="T168" s="9"/>
      <c r="U168" s="9"/>
      <c r="V168" s="9"/>
      <c r="W168" s="9"/>
      <c r="X168" s="9"/>
      <c r="Y168" s="9"/>
      <c r="Z168" s="9"/>
      <c r="AA168" s="9"/>
      <c r="AB168" s="9"/>
      <c r="AC168" s="9"/>
    </row>
    <row r="169" spans="6:29" hidden="1" x14ac:dyDescent="0.15">
      <c r="F169" s="194"/>
      <c r="G169" s="539"/>
      <c r="H169" s="542"/>
      <c r="I169" s="539" t="str">
        <f>IF(I164=0,+"",IF(ROUND((I168/I164)*180/PI(),2)&lt;=13,"OK!",ROUND((I168/I164)*180/PI(),2)))</f>
        <v/>
      </c>
      <c r="J169" s="539" t="str">
        <f t="shared" ref="J169:R169" si="39">IF(J164=0,+"",IF(ROUND((J168/J164)*180/PI(),2)&lt;=13,"OK!",ROUND((J168/J164)*180/PI(),2)))</f>
        <v/>
      </c>
      <c r="K169" s="539" t="str">
        <f t="shared" si="39"/>
        <v/>
      </c>
      <c r="L169" s="539" t="str">
        <f t="shared" si="39"/>
        <v/>
      </c>
      <c r="M169" s="539" t="str">
        <f t="shared" si="39"/>
        <v/>
      </c>
      <c r="N169" s="539" t="str">
        <f t="shared" si="39"/>
        <v/>
      </c>
      <c r="O169" s="539" t="str">
        <f t="shared" si="39"/>
        <v/>
      </c>
      <c r="P169" s="539" t="str">
        <f t="shared" si="39"/>
        <v/>
      </c>
      <c r="Q169" s="539" t="str">
        <f t="shared" si="39"/>
        <v/>
      </c>
      <c r="R169" s="539" t="str">
        <f t="shared" si="39"/>
        <v/>
      </c>
      <c r="S169" s="601"/>
      <c r="T169" s="9"/>
      <c r="U169" s="9"/>
      <c r="V169" s="9"/>
      <c r="W169" s="9"/>
      <c r="X169" s="9"/>
      <c r="Y169" s="9"/>
      <c r="Z169" s="9"/>
      <c r="AA169" s="9"/>
      <c r="AB169" s="9"/>
      <c r="AC169" s="9"/>
    </row>
    <row r="170" spans="6:29" hidden="1" x14ac:dyDescent="0.15">
      <c r="F170" s="194"/>
      <c r="G170" s="539" t="s">
        <v>1135</v>
      </c>
      <c r="H170" s="542" t="s">
        <v>1109</v>
      </c>
      <c r="I170" s="539" t="str">
        <f>IF(I164=0,+"",IF(ROUND((I168/I164)*180/PI(),2)&gt;13,"NO!",ROUND((I168/I164)*180/PI(),2)))</f>
        <v/>
      </c>
      <c r="J170" s="539" t="str">
        <f t="shared" ref="J170:R170" si="40">IF(J164=0,+"",IF(ROUND((J168/J164)*180/PI(),2)&gt;13,"NO!",ROUND((J168/J164)*180/PI(),2)))</f>
        <v/>
      </c>
      <c r="K170" s="539" t="str">
        <f t="shared" si="40"/>
        <v/>
      </c>
      <c r="L170" s="539" t="str">
        <f t="shared" si="40"/>
        <v/>
      </c>
      <c r="M170" s="539" t="str">
        <f t="shared" si="40"/>
        <v/>
      </c>
      <c r="N170" s="539" t="str">
        <f t="shared" si="40"/>
        <v/>
      </c>
      <c r="O170" s="539" t="str">
        <f t="shared" si="40"/>
        <v/>
      </c>
      <c r="P170" s="539" t="str">
        <f t="shared" si="40"/>
        <v/>
      </c>
      <c r="Q170" s="539" t="str">
        <f t="shared" si="40"/>
        <v/>
      </c>
      <c r="R170" s="539" t="str">
        <f t="shared" si="40"/>
        <v/>
      </c>
      <c r="S170" s="601"/>
      <c r="T170" s="9"/>
      <c r="U170" s="9"/>
      <c r="V170" s="9"/>
      <c r="W170" s="9"/>
      <c r="X170" s="9"/>
      <c r="Y170" s="9"/>
      <c r="Z170" s="9"/>
      <c r="AA170" s="9"/>
      <c r="AB170" s="9"/>
      <c r="AC170" s="9"/>
    </row>
    <row r="171" spans="6:29" hidden="1" x14ac:dyDescent="0.15">
      <c r="F171" s="194"/>
      <c r="G171" s="539" t="s">
        <v>1110</v>
      </c>
      <c r="H171" s="542"/>
      <c r="I171" s="539" t="str">
        <f>IF(I170=+"",+"",ROUND(SIN(I170*PI()/180),2))</f>
        <v/>
      </c>
      <c r="J171" s="539" t="str">
        <f t="shared" ref="J171:R171" si="41">IF(J170=+"",+"",ROUND(SIN(J170*PI()/180),2))</f>
        <v/>
      </c>
      <c r="K171" s="539" t="str">
        <f t="shared" si="41"/>
        <v/>
      </c>
      <c r="L171" s="539" t="str">
        <f t="shared" si="41"/>
        <v/>
      </c>
      <c r="M171" s="539" t="str">
        <f t="shared" si="41"/>
        <v/>
      </c>
      <c r="N171" s="539" t="str">
        <f t="shared" si="41"/>
        <v/>
      </c>
      <c r="O171" s="539" t="str">
        <f t="shared" si="41"/>
        <v/>
      </c>
      <c r="P171" s="539" t="str">
        <f t="shared" si="41"/>
        <v/>
      </c>
      <c r="Q171" s="539" t="str">
        <f t="shared" si="41"/>
        <v/>
      </c>
      <c r="R171" s="539" t="str">
        <f t="shared" si="41"/>
        <v/>
      </c>
      <c r="S171" s="602"/>
      <c r="T171" s="85"/>
      <c r="U171" s="85"/>
      <c r="V171" s="85"/>
      <c r="W171" s="85"/>
      <c r="X171" s="85"/>
      <c r="Y171" s="85"/>
      <c r="Z171" s="85"/>
      <c r="AA171" s="85"/>
      <c r="AB171" s="85"/>
      <c r="AC171" s="85"/>
    </row>
    <row r="172" spans="6:29" hidden="1" x14ac:dyDescent="0.15">
      <c r="F172" s="194"/>
      <c r="G172" s="539" t="s">
        <v>1111</v>
      </c>
      <c r="H172" s="542"/>
      <c r="I172" s="539" t="str">
        <f>IF(I170=+"",+"",ROUND(COS(I170*PI()/180),2))</f>
        <v/>
      </c>
      <c r="J172" s="549" t="str">
        <f t="shared" ref="J172:R172" si="42">IF(J170=+"",+"",ROUND(COS(J170*PI()/180),2))</f>
        <v/>
      </c>
      <c r="K172" s="549" t="str">
        <f t="shared" si="42"/>
        <v/>
      </c>
      <c r="L172" s="549" t="str">
        <f t="shared" si="42"/>
        <v/>
      </c>
      <c r="M172" s="549" t="str">
        <f t="shared" si="42"/>
        <v/>
      </c>
      <c r="N172" s="549" t="str">
        <f t="shared" si="42"/>
        <v/>
      </c>
      <c r="O172" s="549" t="str">
        <f t="shared" si="42"/>
        <v/>
      </c>
      <c r="P172" s="549" t="str">
        <f t="shared" si="42"/>
        <v/>
      </c>
      <c r="Q172" s="549" t="str">
        <f t="shared" si="42"/>
        <v/>
      </c>
      <c r="R172" s="549" t="str">
        <f t="shared" si="42"/>
        <v/>
      </c>
      <c r="S172" s="601"/>
      <c r="T172" s="9"/>
      <c r="U172" s="9"/>
      <c r="V172" s="9"/>
      <c r="W172" s="9"/>
      <c r="X172" s="9"/>
      <c r="Y172" s="9"/>
      <c r="Z172" s="9"/>
      <c r="AA172" s="9"/>
      <c r="AB172" s="9"/>
      <c r="AC172" s="9"/>
    </row>
    <row r="173" spans="6:29" hidden="1" x14ac:dyDescent="0.15">
      <c r="F173" s="194"/>
      <c r="G173" s="539" t="s">
        <v>1112</v>
      </c>
      <c r="H173" s="542"/>
      <c r="I173" s="539" t="str">
        <f>IF(I170=+"",+"",ROUND(TAN(I170*PI()/180),2))</f>
        <v/>
      </c>
      <c r="J173" s="539" t="str">
        <f t="shared" ref="J173:R173" si="43">IF(J170=+"",+"",ROUND(TAN(J170*PI()/180),2))</f>
        <v/>
      </c>
      <c r="K173" s="539" t="str">
        <f t="shared" si="43"/>
        <v/>
      </c>
      <c r="L173" s="539" t="str">
        <f t="shared" si="43"/>
        <v/>
      </c>
      <c r="M173" s="539" t="str">
        <f t="shared" si="43"/>
        <v/>
      </c>
      <c r="N173" s="539" t="str">
        <f t="shared" si="43"/>
        <v/>
      </c>
      <c r="O173" s="539" t="str">
        <f t="shared" si="43"/>
        <v/>
      </c>
      <c r="P173" s="539" t="str">
        <f t="shared" si="43"/>
        <v/>
      </c>
      <c r="Q173" s="539" t="str">
        <f t="shared" si="43"/>
        <v/>
      </c>
      <c r="R173" s="539" t="str">
        <f t="shared" si="43"/>
        <v/>
      </c>
      <c r="S173" s="601"/>
      <c r="T173" s="9"/>
      <c r="U173" s="9"/>
      <c r="V173" s="9"/>
      <c r="W173" s="9"/>
      <c r="X173" s="9"/>
      <c r="Y173" s="9"/>
      <c r="Z173" s="9"/>
      <c r="AA173" s="9"/>
      <c r="AB173" s="9"/>
      <c r="AC173" s="9"/>
    </row>
    <row r="174" spans="6:29" ht="15.75" hidden="1" x14ac:dyDescent="0.15">
      <c r="F174" s="194"/>
      <c r="G174" s="539" t="s">
        <v>1113</v>
      </c>
      <c r="H174" s="542" t="s">
        <v>1114</v>
      </c>
      <c r="I174" s="539" t="str">
        <f>IF(I170=+"",+"",ROUND(I$159*I$160/(I$159*I171*I171+I$160*I172*I172),2))</f>
        <v/>
      </c>
      <c r="J174" s="539" t="str">
        <f t="shared" ref="J174:R174" si="44">IF(J170=+"",+"",ROUND(J$159*J$160/(J$159*J171*J171+J$160*J172*J172),2))</f>
        <v/>
      </c>
      <c r="K174" s="539" t="str">
        <f t="shared" si="44"/>
        <v/>
      </c>
      <c r="L174" s="539" t="str">
        <f t="shared" si="44"/>
        <v/>
      </c>
      <c r="M174" s="539" t="str">
        <f t="shared" si="44"/>
        <v/>
      </c>
      <c r="N174" s="539" t="str">
        <f t="shared" si="44"/>
        <v/>
      </c>
      <c r="O174" s="539" t="str">
        <f t="shared" si="44"/>
        <v/>
      </c>
      <c r="P174" s="539" t="str">
        <f t="shared" si="44"/>
        <v/>
      </c>
      <c r="Q174" s="539" t="str">
        <f t="shared" si="44"/>
        <v/>
      </c>
      <c r="R174" s="539" t="str">
        <f t="shared" si="44"/>
        <v/>
      </c>
      <c r="S174" s="601"/>
      <c r="T174" s="9"/>
      <c r="U174" s="9"/>
      <c r="V174" s="9"/>
      <c r="W174" s="9"/>
      <c r="X174" s="9"/>
      <c r="Y174" s="9"/>
      <c r="Z174" s="9"/>
      <c r="AA174" s="9"/>
      <c r="AB174" s="9"/>
      <c r="AC174" s="9"/>
    </row>
    <row r="175" spans="6:29" hidden="1" x14ac:dyDescent="0.15">
      <c r="F175" s="194"/>
      <c r="G175" s="539" t="s">
        <v>1115</v>
      </c>
      <c r="H175" s="542" t="s">
        <v>1116</v>
      </c>
      <c r="I175" s="539" t="str">
        <f t="shared" ref="I175:R175" si="45">IF(I174=+"",+"",ROUND(I174*(I164/I172*I163)*I171/1000,2))</f>
        <v/>
      </c>
      <c r="J175" s="539" t="str">
        <f t="shared" si="45"/>
        <v/>
      </c>
      <c r="K175" s="539" t="str">
        <f t="shared" si="45"/>
        <v/>
      </c>
      <c r="L175" s="539" t="str">
        <f t="shared" si="45"/>
        <v/>
      </c>
      <c r="M175" s="539" t="str">
        <f t="shared" si="45"/>
        <v/>
      </c>
      <c r="N175" s="539" t="str">
        <f t="shared" si="45"/>
        <v/>
      </c>
      <c r="O175" s="539" t="str">
        <f t="shared" si="45"/>
        <v/>
      </c>
      <c r="P175" s="539" t="str">
        <f t="shared" si="45"/>
        <v/>
      </c>
      <c r="Q175" s="539" t="str">
        <f t="shared" si="45"/>
        <v/>
      </c>
      <c r="R175" s="539" t="str">
        <f t="shared" si="45"/>
        <v/>
      </c>
      <c r="S175" s="601"/>
      <c r="T175" s="9"/>
      <c r="U175" s="9"/>
      <c r="V175" s="9"/>
      <c r="W175" s="9"/>
      <c r="X175" s="9"/>
      <c r="Y175" s="9"/>
      <c r="Z175" s="9"/>
      <c r="AA175" s="9"/>
      <c r="AB175" s="9"/>
      <c r="AC175" s="9"/>
    </row>
    <row r="176" spans="6:29" hidden="1" x14ac:dyDescent="0.15">
      <c r="F176" s="194"/>
      <c r="G176" s="539" t="s">
        <v>1117</v>
      </c>
      <c r="H176" s="542"/>
      <c r="I176" s="539">
        <v>1.1000000000000001</v>
      </c>
      <c r="J176" s="539">
        <v>1.1000000000000001</v>
      </c>
      <c r="K176" s="539">
        <v>1.1000000000000001</v>
      </c>
      <c r="L176" s="539">
        <v>1.1000000000000001</v>
      </c>
      <c r="M176" s="539">
        <v>1.1000000000000001</v>
      </c>
      <c r="N176" s="539">
        <v>1.1000000000000001</v>
      </c>
      <c r="O176" s="539">
        <v>1.1000000000000001</v>
      </c>
      <c r="P176" s="539">
        <v>1.1000000000000001</v>
      </c>
      <c r="Q176" s="539">
        <v>1.1000000000000001</v>
      </c>
      <c r="R176" s="539">
        <v>1.1000000000000001</v>
      </c>
      <c r="S176" s="601"/>
      <c r="T176" s="9"/>
      <c r="U176" s="9"/>
      <c r="V176" s="9"/>
      <c r="W176" s="9"/>
      <c r="X176" s="9"/>
      <c r="Y176" s="9"/>
      <c r="Z176" s="9"/>
      <c r="AA176" s="9"/>
      <c r="AB176" s="9"/>
      <c r="AC176" s="9"/>
    </row>
    <row r="177" spans="6:29" hidden="1" x14ac:dyDescent="0.15">
      <c r="F177" s="194"/>
      <c r="G177" s="539" t="s">
        <v>1118</v>
      </c>
      <c r="H177" s="542" t="s">
        <v>1116</v>
      </c>
      <c r="I177" s="539">
        <f t="shared" ref="I177:R177" si="46">IF(I176=+"",+"",ROUND(I176*I$160*I167*I163/1000,2))</f>
        <v>0</v>
      </c>
      <c r="J177" s="539">
        <f t="shared" si="46"/>
        <v>0</v>
      </c>
      <c r="K177" s="539">
        <f t="shared" si="46"/>
        <v>0</v>
      </c>
      <c r="L177" s="539">
        <f t="shared" si="46"/>
        <v>0</v>
      </c>
      <c r="M177" s="539">
        <f t="shared" si="46"/>
        <v>0</v>
      </c>
      <c r="N177" s="539">
        <f t="shared" si="46"/>
        <v>0</v>
      </c>
      <c r="O177" s="539">
        <f t="shared" si="46"/>
        <v>0</v>
      </c>
      <c r="P177" s="539">
        <f t="shared" si="46"/>
        <v>0</v>
      </c>
      <c r="Q177" s="539">
        <f t="shared" si="46"/>
        <v>0</v>
      </c>
      <c r="R177" s="539">
        <f t="shared" si="46"/>
        <v>0</v>
      </c>
      <c r="S177" s="601"/>
      <c r="T177" s="9"/>
      <c r="U177" s="9"/>
      <c r="V177" s="9"/>
      <c r="W177" s="9"/>
      <c r="X177" s="9"/>
      <c r="Y177" s="9"/>
      <c r="Z177" s="9"/>
      <c r="AA177" s="9"/>
      <c r="AB177" s="9"/>
      <c r="AC177" s="9"/>
    </row>
    <row r="178" spans="6:29" hidden="1" x14ac:dyDescent="0.15">
      <c r="F178" s="194"/>
      <c r="G178" s="539" t="s">
        <v>1119</v>
      </c>
      <c r="H178" s="542" t="s">
        <v>1120</v>
      </c>
      <c r="I178" s="539" t="e">
        <f>IF(I177=+"",+"",ROUND(I175*2+I177,2))</f>
        <v>#VALUE!</v>
      </c>
      <c r="J178" s="539" t="e">
        <f t="shared" ref="J178:R178" si="47">IF(J177=+"",+"",ROUND(J175*2+J177,2))</f>
        <v>#VALUE!</v>
      </c>
      <c r="K178" s="539" t="e">
        <f t="shared" si="47"/>
        <v>#VALUE!</v>
      </c>
      <c r="L178" s="539" t="e">
        <f t="shared" si="47"/>
        <v>#VALUE!</v>
      </c>
      <c r="M178" s="539" t="e">
        <f t="shared" si="47"/>
        <v>#VALUE!</v>
      </c>
      <c r="N178" s="539" t="e">
        <f t="shared" si="47"/>
        <v>#VALUE!</v>
      </c>
      <c r="O178" s="539" t="e">
        <f t="shared" si="47"/>
        <v>#VALUE!</v>
      </c>
      <c r="P178" s="539" t="e">
        <f t="shared" si="47"/>
        <v>#VALUE!</v>
      </c>
      <c r="Q178" s="539" t="e">
        <f t="shared" si="47"/>
        <v>#VALUE!</v>
      </c>
      <c r="R178" s="539" t="e">
        <f t="shared" si="47"/>
        <v>#VALUE!</v>
      </c>
      <c r="S178" s="601"/>
      <c r="T178" s="9"/>
      <c r="U178" s="9"/>
      <c r="V178" s="9"/>
      <c r="W178" s="9"/>
      <c r="X178" s="9"/>
      <c r="Y178" s="9"/>
      <c r="Z178" s="9"/>
      <c r="AA178" s="9"/>
      <c r="AB178" s="9"/>
      <c r="AC178" s="9"/>
    </row>
    <row r="179" spans="6:29" hidden="1" x14ac:dyDescent="0.15">
      <c r="F179" s="194"/>
      <c r="G179" s="539" t="s">
        <v>1121</v>
      </c>
      <c r="H179" s="542" t="s">
        <v>1122</v>
      </c>
      <c r="I179" s="539" t="e">
        <f>IF(I177=+"",+"",ROUND(I175*2/(I175*2+I177),2))</f>
        <v>#VALUE!</v>
      </c>
      <c r="J179" s="539" t="e">
        <f t="shared" ref="J179:R179" si="48">IF(J177=+"",+"",ROUND(J175*2/(J175*2+J177),2))</f>
        <v>#VALUE!</v>
      </c>
      <c r="K179" s="539" t="e">
        <f t="shared" si="48"/>
        <v>#VALUE!</v>
      </c>
      <c r="L179" s="539" t="e">
        <f t="shared" si="48"/>
        <v>#VALUE!</v>
      </c>
      <c r="M179" s="539" t="e">
        <f t="shared" si="48"/>
        <v>#VALUE!</v>
      </c>
      <c r="N179" s="539" t="e">
        <f t="shared" si="48"/>
        <v>#VALUE!</v>
      </c>
      <c r="O179" s="539" t="e">
        <f t="shared" si="48"/>
        <v>#VALUE!</v>
      </c>
      <c r="P179" s="539" t="e">
        <f t="shared" si="48"/>
        <v>#VALUE!</v>
      </c>
      <c r="Q179" s="539" t="e">
        <f t="shared" si="48"/>
        <v>#VALUE!</v>
      </c>
      <c r="R179" s="539" t="e">
        <f t="shared" si="48"/>
        <v>#VALUE!</v>
      </c>
      <c r="S179" s="601"/>
      <c r="T179" s="9"/>
      <c r="U179" s="9"/>
      <c r="V179" s="9"/>
      <c r="W179" s="9"/>
      <c r="X179" s="9"/>
      <c r="Y179" s="9"/>
      <c r="Z179" s="9"/>
      <c r="AA179" s="9"/>
      <c r="AB179" s="9"/>
      <c r="AC179" s="9"/>
    </row>
    <row r="180" spans="6:29" hidden="1" x14ac:dyDescent="0.15">
      <c r="F180" s="194"/>
      <c r="G180" s="539"/>
      <c r="H180" s="542" t="s">
        <v>1123</v>
      </c>
      <c r="I180" s="539" t="e">
        <f>IF(I179=+"",+"",1-I179)</f>
        <v>#VALUE!</v>
      </c>
      <c r="J180" s="539" t="e">
        <f t="shared" ref="J180:R180" si="49">IF(J179=+"",+"",1-J179)</f>
        <v>#VALUE!</v>
      </c>
      <c r="K180" s="539" t="e">
        <f t="shared" si="49"/>
        <v>#VALUE!</v>
      </c>
      <c r="L180" s="539" t="e">
        <f t="shared" si="49"/>
        <v>#VALUE!</v>
      </c>
      <c r="M180" s="539" t="e">
        <f t="shared" si="49"/>
        <v>#VALUE!</v>
      </c>
      <c r="N180" s="539" t="e">
        <f t="shared" si="49"/>
        <v>#VALUE!</v>
      </c>
      <c r="O180" s="539" t="e">
        <f t="shared" si="49"/>
        <v>#VALUE!</v>
      </c>
      <c r="P180" s="539" t="e">
        <f t="shared" si="49"/>
        <v>#VALUE!</v>
      </c>
      <c r="Q180" s="539" t="e">
        <f t="shared" si="49"/>
        <v>#VALUE!</v>
      </c>
      <c r="R180" s="539" t="e">
        <f t="shared" si="49"/>
        <v>#VALUE!</v>
      </c>
      <c r="S180" s="603"/>
      <c r="T180" s="55"/>
      <c r="U180" s="55"/>
      <c r="V180" s="55"/>
      <c r="W180" s="55"/>
      <c r="X180" s="55"/>
      <c r="Y180" s="55"/>
      <c r="Z180" s="55"/>
      <c r="AA180" s="55"/>
      <c r="AB180" s="55"/>
      <c r="AC180" s="55"/>
    </row>
    <row r="181" spans="6:29" hidden="1" x14ac:dyDescent="0.15">
      <c r="F181" s="194"/>
      <c r="G181" s="539" t="s">
        <v>1124</v>
      </c>
      <c r="H181" s="542" t="s">
        <v>1125</v>
      </c>
      <c r="I181" s="543" t="str">
        <f t="shared" ref="I181:R181" si="50">+IF(I166=0,+"",ROUND((I166+I167)/2*I164,0))</f>
        <v/>
      </c>
      <c r="J181" s="543" t="str">
        <f t="shared" si="50"/>
        <v/>
      </c>
      <c r="K181" s="543" t="str">
        <f t="shared" si="50"/>
        <v/>
      </c>
      <c r="L181" s="543" t="str">
        <f t="shared" si="50"/>
        <v/>
      </c>
      <c r="M181" s="543" t="str">
        <f t="shared" si="50"/>
        <v/>
      </c>
      <c r="N181" s="543" t="str">
        <f t="shared" si="50"/>
        <v/>
      </c>
      <c r="O181" s="543" t="str">
        <f t="shared" si="50"/>
        <v/>
      </c>
      <c r="P181" s="543" t="str">
        <f t="shared" si="50"/>
        <v/>
      </c>
      <c r="Q181" s="543" t="str">
        <f t="shared" si="50"/>
        <v/>
      </c>
      <c r="R181" s="543" t="str">
        <f t="shared" si="50"/>
        <v/>
      </c>
      <c r="S181" s="601"/>
      <c r="T181" s="9"/>
      <c r="U181" s="9"/>
      <c r="V181" s="9"/>
      <c r="W181" s="9"/>
      <c r="X181" s="9"/>
      <c r="Y181" s="9"/>
      <c r="Z181" s="9"/>
      <c r="AA181" s="9"/>
      <c r="AB181" s="9"/>
      <c r="AC181" s="9"/>
    </row>
    <row r="182" spans="6:29" hidden="1" x14ac:dyDescent="0.15">
      <c r="F182" s="194"/>
      <c r="G182" s="539" t="s">
        <v>1126</v>
      </c>
      <c r="H182" s="542"/>
      <c r="I182" s="539" t="str">
        <f>IF(I181=+"",+"",ROUND(I$158*I181*I$157/1000,2))</f>
        <v/>
      </c>
      <c r="J182" s="539" t="str">
        <f t="shared" ref="J182:R182" si="51">IF(J181=+"",+"",ROUND(J$158*J181*J$157/1000,2))</f>
        <v/>
      </c>
      <c r="K182" s="539" t="str">
        <f t="shared" si="51"/>
        <v/>
      </c>
      <c r="L182" s="539" t="str">
        <f t="shared" si="51"/>
        <v/>
      </c>
      <c r="M182" s="539" t="str">
        <f t="shared" si="51"/>
        <v/>
      </c>
      <c r="N182" s="539" t="str">
        <f t="shared" si="51"/>
        <v/>
      </c>
      <c r="O182" s="539" t="str">
        <f t="shared" si="51"/>
        <v/>
      </c>
      <c r="P182" s="539" t="str">
        <f t="shared" si="51"/>
        <v/>
      </c>
      <c r="Q182" s="539" t="str">
        <f t="shared" si="51"/>
        <v/>
      </c>
      <c r="R182" s="539" t="str">
        <f t="shared" si="51"/>
        <v/>
      </c>
      <c r="S182" s="601"/>
      <c r="T182" s="9"/>
      <c r="U182" s="9"/>
      <c r="V182" s="9"/>
      <c r="W182" s="9"/>
      <c r="X182" s="9"/>
      <c r="Y182" s="9"/>
      <c r="Z182" s="9"/>
      <c r="AA182" s="9"/>
      <c r="AB182" s="9"/>
      <c r="AC182" s="9"/>
    </row>
    <row r="183" spans="6:29" hidden="1" x14ac:dyDescent="0.15">
      <c r="F183" s="194"/>
      <c r="G183" s="539" t="s">
        <v>1127</v>
      </c>
      <c r="H183" s="542"/>
      <c r="I183" s="539" t="e">
        <f>IF(I178=+"",+"",ROUND(I178*2/3,2))</f>
        <v>#VALUE!</v>
      </c>
      <c r="J183" s="539" t="e">
        <f t="shared" ref="J183:R183" si="52">IF(J178=+"",+"",ROUND(J178*2/3,2))</f>
        <v>#VALUE!</v>
      </c>
      <c r="K183" s="539" t="e">
        <f t="shared" si="52"/>
        <v>#VALUE!</v>
      </c>
      <c r="L183" s="539" t="e">
        <f t="shared" si="52"/>
        <v>#VALUE!</v>
      </c>
      <c r="M183" s="539" t="e">
        <f t="shared" si="52"/>
        <v>#VALUE!</v>
      </c>
      <c r="N183" s="539" t="e">
        <f t="shared" si="52"/>
        <v>#VALUE!</v>
      </c>
      <c r="O183" s="539" t="e">
        <f t="shared" si="52"/>
        <v>#VALUE!</v>
      </c>
      <c r="P183" s="539" t="e">
        <f t="shared" si="52"/>
        <v>#VALUE!</v>
      </c>
      <c r="Q183" s="539" t="e">
        <f t="shared" si="52"/>
        <v>#VALUE!</v>
      </c>
      <c r="R183" s="539" t="e">
        <f t="shared" si="52"/>
        <v>#VALUE!</v>
      </c>
    </row>
    <row r="184" spans="6:29" hidden="1" x14ac:dyDescent="0.15">
      <c r="F184" s="194"/>
      <c r="G184" s="194"/>
      <c r="H184" s="194"/>
      <c r="I184" s="194"/>
      <c r="J184" s="194"/>
      <c r="K184" s="194"/>
      <c r="L184" s="194"/>
      <c r="M184" s="194"/>
      <c r="N184" s="194"/>
      <c r="O184" s="194"/>
    </row>
    <row r="185" spans="6:29" hidden="1" x14ac:dyDescent="0.15">
      <c r="F185" s="194"/>
      <c r="G185" s="302" t="s">
        <v>1128</v>
      </c>
      <c r="H185" s="194"/>
      <c r="I185" s="194" t="s">
        <v>1129</v>
      </c>
      <c r="J185" s="194"/>
      <c r="K185" s="194"/>
      <c r="L185" s="194"/>
      <c r="M185" s="194"/>
      <c r="N185" s="194"/>
      <c r="O185" s="194"/>
    </row>
    <row r="186" spans="6:29" hidden="1" x14ac:dyDescent="0.15">
      <c r="F186" s="194"/>
      <c r="G186" s="194"/>
      <c r="H186" s="440" t="s">
        <v>1130</v>
      </c>
      <c r="I186" s="544">
        <v>2</v>
      </c>
      <c r="J186" s="544">
        <v>4</v>
      </c>
      <c r="K186" s="544">
        <v>6</v>
      </c>
      <c r="L186" s="544">
        <v>8</v>
      </c>
      <c r="M186" s="544">
        <v>10</v>
      </c>
      <c r="N186" s="544">
        <v>12</v>
      </c>
      <c r="O186" s="194"/>
    </row>
    <row r="187" spans="6:29" hidden="1" x14ac:dyDescent="0.15">
      <c r="F187" s="194"/>
      <c r="G187" s="194"/>
      <c r="H187" s="440" t="s">
        <v>1131</v>
      </c>
      <c r="I187" s="545">
        <v>0.42</v>
      </c>
      <c r="J187" s="545">
        <v>0.53</v>
      </c>
      <c r="K187" s="545">
        <v>0.66</v>
      </c>
      <c r="L187" s="545">
        <v>0.75</v>
      </c>
      <c r="M187" s="545">
        <v>0.9</v>
      </c>
      <c r="N187" s="546">
        <v>1</v>
      </c>
      <c r="O187" s="194"/>
    </row>
    <row r="188" spans="6:29" hidden="1" x14ac:dyDescent="0.15">
      <c r="G188" s="194"/>
      <c r="H188" s="194"/>
      <c r="I188" s="440" t="s">
        <v>1130</v>
      </c>
      <c r="J188" s="440" t="s">
        <v>1152</v>
      </c>
      <c r="K188" s="194"/>
      <c r="L188" s="194"/>
      <c r="M188" s="194"/>
      <c r="N188" s="194"/>
      <c r="O188" s="194"/>
    </row>
    <row r="189" spans="6:29" hidden="1" x14ac:dyDescent="0.15">
      <c r="I189" s="544">
        <v>2</v>
      </c>
      <c r="J189" s="545">
        <v>0.42</v>
      </c>
    </row>
    <row r="190" spans="6:29" hidden="1" x14ac:dyDescent="0.15">
      <c r="I190" s="544">
        <v>4</v>
      </c>
      <c r="J190" s="545">
        <v>0.53</v>
      </c>
    </row>
    <row r="191" spans="6:29" hidden="1" x14ac:dyDescent="0.15">
      <c r="I191" s="544">
        <v>6</v>
      </c>
      <c r="J191" s="545">
        <v>0.66</v>
      </c>
    </row>
    <row r="192" spans="6:29" hidden="1" x14ac:dyDescent="0.15">
      <c r="I192" s="544">
        <v>8</v>
      </c>
      <c r="J192" s="545">
        <v>0.75</v>
      </c>
    </row>
    <row r="193" spans="6:29" hidden="1" x14ac:dyDescent="0.15">
      <c r="I193" s="544">
        <v>10</v>
      </c>
      <c r="J193" s="545">
        <v>0.9</v>
      </c>
    </row>
    <row r="194" spans="6:29" hidden="1" x14ac:dyDescent="0.15">
      <c r="I194" s="544">
        <v>12</v>
      </c>
      <c r="J194" s="546">
        <v>1</v>
      </c>
    </row>
    <row r="195" spans="6:29" hidden="1" x14ac:dyDescent="0.15"/>
    <row r="196" spans="6:29" hidden="1" x14ac:dyDescent="0.15">
      <c r="F196" s="548" t="s">
        <v>1132</v>
      </c>
    </row>
    <row r="197" spans="6:29" hidden="1" x14ac:dyDescent="0.15">
      <c r="F197" s="548" t="s">
        <v>1150</v>
      </c>
      <c r="G197" s="548">
        <v>1</v>
      </c>
      <c r="H197" s="548">
        <v>17.7</v>
      </c>
      <c r="I197" s="548">
        <v>1.8</v>
      </c>
      <c r="J197" s="548">
        <v>6</v>
      </c>
      <c r="L197" s="3" t="s">
        <v>1174</v>
      </c>
    </row>
    <row r="198" spans="6:29" hidden="1" x14ac:dyDescent="0.15">
      <c r="F198" s="548" t="s">
        <v>1155</v>
      </c>
      <c r="G198" s="548">
        <v>2</v>
      </c>
      <c r="H198" s="548">
        <v>20.7</v>
      </c>
      <c r="I198" s="548">
        <v>2.1</v>
      </c>
      <c r="J198" s="548">
        <v>7.8</v>
      </c>
      <c r="L198" s="3" t="s">
        <v>1175</v>
      </c>
    </row>
    <row r="199" spans="6:29" hidden="1" x14ac:dyDescent="0.15">
      <c r="F199" s="548" t="s">
        <v>1156</v>
      </c>
      <c r="G199" s="548">
        <v>3</v>
      </c>
      <c r="H199" s="548">
        <v>22.2</v>
      </c>
      <c r="I199" s="548">
        <v>2.4</v>
      </c>
      <c r="J199" s="548">
        <v>9</v>
      </c>
      <c r="L199" s="3" t="s">
        <v>1176</v>
      </c>
    </row>
    <row r="200" spans="6:29" hidden="1" x14ac:dyDescent="0.15">
      <c r="F200" s="548" t="s">
        <v>1157</v>
      </c>
      <c r="G200" s="548">
        <v>4</v>
      </c>
      <c r="H200" s="548">
        <v>22.2</v>
      </c>
      <c r="I200" s="548">
        <v>2.4</v>
      </c>
      <c r="J200" s="548">
        <v>9</v>
      </c>
    </row>
    <row r="201" spans="6:29" hidden="1" x14ac:dyDescent="0.15">
      <c r="G201" s="548">
        <v>5</v>
      </c>
      <c r="H201" s="548">
        <v>22.2</v>
      </c>
      <c r="I201" s="551">
        <v>2.4</v>
      </c>
      <c r="J201" s="551">
        <v>9</v>
      </c>
      <c r="S201" s="601"/>
      <c r="T201" s="9"/>
      <c r="U201" s="9"/>
      <c r="V201" s="9"/>
      <c r="W201" s="9"/>
      <c r="X201" s="9"/>
      <c r="Y201" s="9"/>
      <c r="Z201" s="9"/>
      <c r="AA201" s="9"/>
      <c r="AB201" s="9"/>
      <c r="AC201" s="9"/>
    </row>
    <row r="202" spans="6:29" hidden="1" x14ac:dyDescent="0.15">
      <c r="I202" s="545">
        <f t="shared" ref="I202:R202" si="53">+VALUE(RIGHT(I161,4))</f>
        <v>0</v>
      </c>
      <c r="J202" s="545">
        <f t="shared" si="53"/>
        <v>0</v>
      </c>
      <c r="K202" s="545">
        <f t="shared" si="53"/>
        <v>0</v>
      </c>
      <c r="L202" s="545">
        <f t="shared" si="53"/>
        <v>0</v>
      </c>
      <c r="M202" s="545">
        <f t="shared" si="53"/>
        <v>0</v>
      </c>
      <c r="N202" s="545">
        <f t="shared" si="53"/>
        <v>0</v>
      </c>
      <c r="O202" s="545">
        <f t="shared" si="53"/>
        <v>0</v>
      </c>
      <c r="P202" s="545">
        <f t="shared" si="53"/>
        <v>0</v>
      </c>
      <c r="Q202" s="545">
        <f t="shared" si="53"/>
        <v>0</v>
      </c>
      <c r="R202" s="545">
        <f t="shared" si="53"/>
        <v>0</v>
      </c>
    </row>
    <row r="203" spans="6:29" hidden="1" x14ac:dyDescent="0.15"/>
    <row r="301" spans="43:52" x14ac:dyDescent="0.15">
      <c r="AR301" s="3" t="s">
        <v>778</v>
      </c>
    </row>
    <row r="302" spans="43:52" x14ac:dyDescent="0.15">
      <c r="AR302" s="3" t="s">
        <v>291</v>
      </c>
      <c r="AT302" s="3" t="s">
        <v>292</v>
      </c>
    </row>
    <row r="303" spans="43:52" x14ac:dyDescent="0.15">
      <c r="AQ303" s="128">
        <v>1</v>
      </c>
      <c r="AR303" s="63">
        <f>+AW303</f>
        <v>4.5</v>
      </c>
      <c r="AS303" s="3">
        <v>60</v>
      </c>
      <c r="AT303" s="3">
        <f>+AY303</f>
        <v>6.75</v>
      </c>
      <c r="AU303" s="3">
        <v>60</v>
      </c>
      <c r="AW303" s="3">
        <f>ROUND((AX303/10-3)*POWER(AX303/10-3,2)/6,2)</f>
        <v>4.5</v>
      </c>
      <c r="AX303" s="3">
        <v>60</v>
      </c>
      <c r="AY303" s="3">
        <f>ROUND((AZ303/10-3)*POWER(AZ303/10-3,3)/12,2)</f>
        <v>6.75</v>
      </c>
      <c r="AZ303" s="3">
        <v>60</v>
      </c>
    </row>
    <row r="304" spans="43:52" x14ac:dyDescent="0.15">
      <c r="AR304" s="63">
        <f t="shared" ref="AR304:AR348" si="54">+AW304</f>
        <v>4.5010000000000003</v>
      </c>
      <c r="AS304" s="3">
        <v>75</v>
      </c>
      <c r="AT304" s="3">
        <f t="shared" ref="AT304:AT348" si="55">+AY304</f>
        <v>6.7510000000000003</v>
      </c>
      <c r="AU304" s="3">
        <v>75</v>
      </c>
      <c r="AW304" s="3">
        <f>+AW303+0.001</f>
        <v>4.5010000000000003</v>
      </c>
      <c r="AX304" s="3">
        <v>75</v>
      </c>
      <c r="AY304" s="3">
        <f>+AY303+0.001</f>
        <v>6.7510000000000003</v>
      </c>
      <c r="AZ304" s="3">
        <v>75</v>
      </c>
    </row>
    <row r="305" spans="43:52" x14ac:dyDescent="0.15">
      <c r="AR305" s="63">
        <f t="shared" si="54"/>
        <v>15.19</v>
      </c>
      <c r="AS305" s="3">
        <v>75</v>
      </c>
      <c r="AT305" s="3">
        <f t="shared" si="55"/>
        <v>34.17</v>
      </c>
      <c r="AU305" s="3">
        <v>75</v>
      </c>
      <c r="AW305" s="3">
        <f>ROUND((AX305/10-3)*POWER(AX305/10-3,2)/6,2)</f>
        <v>15.19</v>
      </c>
      <c r="AX305" s="3">
        <v>75</v>
      </c>
      <c r="AY305" s="3">
        <f>ROUND((AZ305/10-3)*POWER(AZ305/10-3,3)/12,2)</f>
        <v>34.17</v>
      </c>
      <c r="AZ305" s="3">
        <v>75</v>
      </c>
    </row>
    <row r="306" spans="43:52" x14ac:dyDescent="0.15">
      <c r="AR306" s="63">
        <f t="shared" si="54"/>
        <v>15.190999999999999</v>
      </c>
      <c r="AS306" s="3">
        <v>90</v>
      </c>
      <c r="AT306" s="3">
        <f t="shared" si="55"/>
        <v>34.170999999999999</v>
      </c>
      <c r="AU306" s="3">
        <v>90</v>
      </c>
      <c r="AW306" s="3">
        <f>+AW305+0.001</f>
        <v>15.190999999999999</v>
      </c>
      <c r="AX306" s="3">
        <v>90</v>
      </c>
      <c r="AY306" s="3">
        <f>+AY305+0.001</f>
        <v>34.170999999999999</v>
      </c>
      <c r="AZ306" s="3">
        <v>90</v>
      </c>
    </row>
    <row r="307" spans="43:52" x14ac:dyDescent="0.15">
      <c r="AQ307" s="63"/>
      <c r="AR307" s="63">
        <f t="shared" si="54"/>
        <v>36</v>
      </c>
      <c r="AS307" s="3">
        <v>90</v>
      </c>
      <c r="AT307" s="3">
        <f t="shared" si="55"/>
        <v>108</v>
      </c>
      <c r="AU307" s="3">
        <v>90</v>
      </c>
      <c r="AW307" s="3">
        <f>ROUND((AX307/10-3)*POWER(AX307/10-3,2)/6,2)</f>
        <v>36</v>
      </c>
      <c r="AX307" s="3">
        <v>90</v>
      </c>
      <c r="AY307" s="3">
        <f>ROUND((AZ307/10-3)*POWER(AZ307/10-3,3)/12,2)</f>
        <v>108</v>
      </c>
      <c r="AZ307" s="3">
        <v>90</v>
      </c>
    </row>
    <row r="308" spans="43:52" x14ac:dyDescent="0.15">
      <c r="AR308" s="63">
        <f t="shared" si="54"/>
        <v>36.000999999999998</v>
      </c>
      <c r="AS308" s="3">
        <v>105</v>
      </c>
      <c r="AT308" s="3">
        <f t="shared" si="55"/>
        <v>108.001</v>
      </c>
      <c r="AU308" s="3">
        <v>105</v>
      </c>
      <c r="AW308" s="3">
        <f>+AW307+0.001</f>
        <v>36.000999999999998</v>
      </c>
      <c r="AX308" s="3">
        <v>105</v>
      </c>
      <c r="AY308" s="3">
        <f>+AY307+0.001</f>
        <v>108.001</v>
      </c>
      <c r="AZ308" s="3">
        <v>105</v>
      </c>
    </row>
    <row r="309" spans="43:52" x14ac:dyDescent="0.15">
      <c r="AR309" s="63">
        <f t="shared" si="54"/>
        <v>70.31</v>
      </c>
      <c r="AS309" s="3">
        <v>105</v>
      </c>
      <c r="AT309" s="3">
        <f t="shared" si="55"/>
        <v>263.67</v>
      </c>
      <c r="AU309" s="3">
        <v>105</v>
      </c>
      <c r="AW309" s="3">
        <f>ROUND((AX309/10-3)*POWER(AX309/10-3,2)/6,2)</f>
        <v>70.31</v>
      </c>
      <c r="AX309" s="3">
        <v>105</v>
      </c>
      <c r="AY309" s="3">
        <f>ROUND((AZ309/10-3)*POWER(AZ309/10-3,3)/12,2)</f>
        <v>263.67</v>
      </c>
      <c r="AZ309" s="3">
        <v>105</v>
      </c>
    </row>
    <row r="310" spans="43:52" x14ac:dyDescent="0.15">
      <c r="AR310" s="63">
        <f t="shared" si="54"/>
        <v>70.311000000000007</v>
      </c>
      <c r="AS310" s="3">
        <v>120</v>
      </c>
      <c r="AT310" s="3">
        <f t="shared" si="55"/>
        <v>263.67099999999999</v>
      </c>
      <c r="AU310" s="3">
        <v>120</v>
      </c>
      <c r="AW310" s="3">
        <f>+AW309+0.001</f>
        <v>70.311000000000007</v>
      </c>
      <c r="AX310" s="3">
        <v>120</v>
      </c>
      <c r="AY310" s="3">
        <f>+AY309+0.001</f>
        <v>263.67099999999999</v>
      </c>
      <c r="AZ310" s="3">
        <v>120</v>
      </c>
    </row>
    <row r="311" spans="43:52" x14ac:dyDescent="0.15">
      <c r="AR311" s="63">
        <f t="shared" si="54"/>
        <v>121.5</v>
      </c>
      <c r="AS311" s="3">
        <v>120</v>
      </c>
      <c r="AT311" s="3">
        <f t="shared" si="55"/>
        <v>546.75</v>
      </c>
      <c r="AU311" s="3">
        <v>120</v>
      </c>
      <c r="AW311" s="3">
        <f>ROUND((AX311/10-3)*POWER(AX311/10-3,2)/6,2)</f>
        <v>121.5</v>
      </c>
      <c r="AX311" s="3">
        <v>120</v>
      </c>
      <c r="AY311" s="3">
        <f>ROUND((AZ311/10-3)*POWER(AZ311/10-3,3)/12,2)</f>
        <v>546.75</v>
      </c>
      <c r="AZ311" s="3">
        <v>120</v>
      </c>
    </row>
    <row r="312" spans="43:52" x14ac:dyDescent="0.15">
      <c r="AR312" s="63">
        <f t="shared" si="54"/>
        <v>121.501</v>
      </c>
      <c r="AS312" s="3">
        <v>135</v>
      </c>
      <c r="AT312" s="3">
        <f t="shared" si="55"/>
        <v>546.75099999999998</v>
      </c>
      <c r="AU312" s="3">
        <v>135</v>
      </c>
      <c r="AW312" s="3">
        <f>+AW311+0.001</f>
        <v>121.501</v>
      </c>
      <c r="AX312" s="3">
        <v>135</v>
      </c>
      <c r="AY312" s="3">
        <f>+AY311+0.001</f>
        <v>546.75099999999998</v>
      </c>
      <c r="AZ312" s="3">
        <v>135</v>
      </c>
    </row>
    <row r="313" spans="43:52" x14ac:dyDescent="0.15">
      <c r="AR313" s="63">
        <f t="shared" si="54"/>
        <v>192.94</v>
      </c>
      <c r="AS313" s="3">
        <v>135</v>
      </c>
      <c r="AT313" s="3">
        <f t="shared" si="55"/>
        <v>1012.92</v>
      </c>
      <c r="AU313" s="3">
        <v>135</v>
      </c>
      <c r="AW313" s="3">
        <f>ROUND((AX313/10-3)*POWER(AX313/10-3,2)/6,2)</f>
        <v>192.94</v>
      </c>
      <c r="AX313" s="3">
        <v>135</v>
      </c>
      <c r="AY313" s="3">
        <f>ROUND((AZ313/10-3)*POWER(AZ313/10-3,3)/12,2)</f>
        <v>1012.92</v>
      </c>
      <c r="AZ313" s="3">
        <v>135</v>
      </c>
    </row>
    <row r="314" spans="43:52" x14ac:dyDescent="0.15">
      <c r="AR314" s="63">
        <f t="shared" si="54"/>
        <v>192.941</v>
      </c>
      <c r="AS314" s="3">
        <v>150</v>
      </c>
      <c r="AT314" s="3">
        <f t="shared" si="55"/>
        <v>1012.9209999999999</v>
      </c>
      <c r="AU314" s="3">
        <v>150</v>
      </c>
      <c r="AW314" s="3">
        <f>+AW313+0.001</f>
        <v>192.941</v>
      </c>
      <c r="AX314" s="3">
        <v>150</v>
      </c>
      <c r="AY314" s="3">
        <f>+AY313+0.001</f>
        <v>1012.9209999999999</v>
      </c>
      <c r="AZ314" s="3">
        <v>150</v>
      </c>
    </row>
    <row r="315" spans="43:52" x14ac:dyDescent="0.15">
      <c r="AR315" s="63">
        <f t="shared" si="54"/>
        <v>288</v>
      </c>
      <c r="AS315" s="3">
        <v>150</v>
      </c>
      <c r="AT315" s="3">
        <f t="shared" si="55"/>
        <v>1728</v>
      </c>
      <c r="AU315" s="3">
        <v>150</v>
      </c>
      <c r="AW315" s="3">
        <f>ROUND((AX315/10-3)*POWER(AX315/10-3,2)/6,2)</f>
        <v>288</v>
      </c>
      <c r="AX315" s="3">
        <v>150</v>
      </c>
      <c r="AY315" s="3">
        <f>ROUND((AZ315/10-3)*POWER(AZ315/10-3,3)/12,2)</f>
        <v>1728</v>
      </c>
      <c r="AZ315" s="3">
        <v>150</v>
      </c>
    </row>
    <row r="316" spans="43:52" x14ac:dyDescent="0.15">
      <c r="AR316" s="63">
        <f t="shared" si="54"/>
        <v>288.00099999999998</v>
      </c>
      <c r="AS316" s="3">
        <v>180</v>
      </c>
      <c r="AT316" s="3">
        <f t="shared" si="55"/>
        <v>1728.001</v>
      </c>
      <c r="AU316" s="3">
        <v>180</v>
      </c>
      <c r="AW316" s="3">
        <f>+AW315+0.001</f>
        <v>288.00099999999998</v>
      </c>
      <c r="AX316" s="3">
        <v>180</v>
      </c>
      <c r="AY316" s="3">
        <f>+AY315+0.001</f>
        <v>1728.001</v>
      </c>
      <c r="AZ316" s="3">
        <v>180</v>
      </c>
    </row>
    <row r="317" spans="43:52" x14ac:dyDescent="0.15">
      <c r="AR317" s="63">
        <f t="shared" si="54"/>
        <v>487.5</v>
      </c>
      <c r="AS317" s="3">
        <v>180</v>
      </c>
      <c r="AT317" s="3">
        <f t="shared" si="55"/>
        <v>3656.25</v>
      </c>
      <c r="AU317" s="3">
        <v>180</v>
      </c>
      <c r="AW317" s="3">
        <f>ROUND((AX317/10-5)*POWER(AX317/10-3,2)/6,2)</f>
        <v>487.5</v>
      </c>
      <c r="AX317" s="3">
        <v>180</v>
      </c>
      <c r="AY317" s="3">
        <f>ROUND((AZ317/10-5)*POWER(AZ317/10-3,3)/12,2)</f>
        <v>3656.25</v>
      </c>
      <c r="AZ317" s="3">
        <v>180</v>
      </c>
    </row>
    <row r="318" spans="43:52" x14ac:dyDescent="0.15">
      <c r="AR318" s="63">
        <f t="shared" si="54"/>
        <v>487.50099999999998</v>
      </c>
      <c r="AS318" s="3">
        <v>210</v>
      </c>
      <c r="AT318" s="3">
        <f t="shared" si="55"/>
        <v>3656.2510000000002</v>
      </c>
      <c r="AU318" s="3">
        <v>210</v>
      </c>
      <c r="AW318" s="3">
        <f>+AW317+0.001</f>
        <v>487.50099999999998</v>
      </c>
      <c r="AX318" s="3">
        <v>210</v>
      </c>
      <c r="AY318" s="3">
        <f>+AY317+0.001</f>
        <v>3656.2510000000002</v>
      </c>
      <c r="AZ318" s="3">
        <v>210</v>
      </c>
    </row>
    <row r="319" spans="43:52" x14ac:dyDescent="0.15">
      <c r="AR319" s="63">
        <f t="shared" si="54"/>
        <v>864</v>
      </c>
      <c r="AS319" s="3">
        <v>210</v>
      </c>
      <c r="AT319" s="3">
        <f t="shared" si="55"/>
        <v>7776</v>
      </c>
      <c r="AU319" s="3">
        <v>210</v>
      </c>
      <c r="AW319" s="3">
        <f>ROUND((AX319/10-5)*POWER(AX319/10-3,2)/6,2)</f>
        <v>864</v>
      </c>
      <c r="AX319" s="3">
        <v>210</v>
      </c>
      <c r="AY319" s="3">
        <f>ROUND((AZ319/10-5)*POWER(AZ319/10-3,3)/12,2)</f>
        <v>7776</v>
      </c>
      <c r="AZ319" s="3">
        <v>210</v>
      </c>
    </row>
    <row r="320" spans="43:52" x14ac:dyDescent="0.15">
      <c r="AR320" s="63">
        <f t="shared" si="54"/>
        <v>864.00099999999998</v>
      </c>
      <c r="AS320" s="3">
        <v>240</v>
      </c>
      <c r="AT320" s="3">
        <f t="shared" si="55"/>
        <v>7776.0010000000002</v>
      </c>
      <c r="AU320" s="3">
        <v>240</v>
      </c>
      <c r="AW320" s="3">
        <f>+AW319+0.001</f>
        <v>864.00099999999998</v>
      </c>
      <c r="AX320" s="3">
        <v>240</v>
      </c>
      <c r="AY320" s="3">
        <f>+AY319+0.001</f>
        <v>7776.0010000000002</v>
      </c>
      <c r="AZ320" s="3">
        <v>240</v>
      </c>
    </row>
    <row r="321" spans="44:52" x14ac:dyDescent="0.15">
      <c r="AR321" s="63">
        <f t="shared" si="54"/>
        <v>1396.5</v>
      </c>
      <c r="AS321" s="3">
        <f>+AS319+30</f>
        <v>240</v>
      </c>
      <c r="AT321" s="3">
        <f t="shared" si="55"/>
        <v>14663.25</v>
      </c>
      <c r="AU321" s="3">
        <f>+AU319+30</f>
        <v>240</v>
      </c>
      <c r="AW321" s="3">
        <f>ROUND((AX321/10-5)*POWER(AX321/10-3,2)/6,2)</f>
        <v>1396.5</v>
      </c>
      <c r="AX321" s="3">
        <f>+AX319+30</f>
        <v>240</v>
      </c>
      <c r="AY321" s="3">
        <f>ROUND((AZ321/10-5)*POWER(AZ321/10-3,3)/12,2)</f>
        <v>14663.25</v>
      </c>
      <c r="AZ321" s="3">
        <f>+AZ319+30</f>
        <v>240</v>
      </c>
    </row>
    <row r="322" spans="44:52" x14ac:dyDescent="0.15">
      <c r="AR322" s="63">
        <f t="shared" si="54"/>
        <v>1396.501</v>
      </c>
      <c r="AS322" s="3">
        <v>270</v>
      </c>
      <c r="AT322" s="3">
        <f t="shared" si="55"/>
        <v>14663.251</v>
      </c>
      <c r="AU322" s="3">
        <v>270</v>
      </c>
      <c r="AW322" s="3">
        <f>+AW321+0.001</f>
        <v>1396.501</v>
      </c>
      <c r="AX322" s="3">
        <v>270</v>
      </c>
      <c r="AY322" s="3">
        <f>+AY321+0.001</f>
        <v>14663.251</v>
      </c>
      <c r="AZ322" s="3">
        <v>270</v>
      </c>
    </row>
    <row r="323" spans="44:52" x14ac:dyDescent="0.15">
      <c r="AR323" s="63">
        <f t="shared" si="54"/>
        <v>2112</v>
      </c>
      <c r="AS323" s="3">
        <f>+AS321+30</f>
        <v>270</v>
      </c>
      <c r="AT323" s="3">
        <f t="shared" si="55"/>
        <v>25344</v>
      </c>
      <c r="AU323" s="3">
        <f>+AU321+30</f>
        <v>270</v>
      </c>
      <c r="AW323" s="3">
        <f>ROUND((AX323/10-5)*POWER(AX323/10-3,2)/6,2)</f>
        <v>2112</v>
      </c>
      <c r="AX323" s="3">
        <f>+AX321+30</f>
        <v>270</v>
      </c>
      <c r="AY323" s="3">
        <f>ROUND((AZ323/10-5)*POWER(AZ323/10-3,3)/12,2)</f>
        <v>25344</v>
      </c>
      <c r="AZ323" s="3">
        <f>+AZ321+30</f>
        <v>270</v>
      </c>
    </row>
    <row r="324" spans="44:52" x14ac:dyDescent="0.15">
      <c r="AR324" s="63">
        <f t="shared" si="54"/>
        <v>2112.0010000000002</v>
      </c>
      <c r="AS324" s="3">
        <v>300</v>
      </c>
      <c r="AT324" s="3">
        <f t="shared" si="55"/>
        <v>25344.001</v>
      </c>
      <c r="AU324" s="3">
        <v>300</v>
      </c>
      <c r="AW324" s="3">
        <f>+AW323+0.001</f>
        <v>2112.0010000000002</v>
      </c>
      <c r="AX324" s="3">
        <v>300</v>
      </c>
      <c r="AY324" s="3">
        <f>+AY323+0.001</f>
        <v>25344.001</v>
      </c>
      <c r="AZ324" s="3">
        <v>300</v>
      </c>
    </row>
    <row r="325" spans="44:52" x14ac:dyDescent="0.15">
      <c r="AR325" s="63">
        <f t="shared" si="54"/>
        <v>3037.5</v>
      </c>
      <c r="AS325" s="3">
        <f>+AS323+30</f>
        <v>300</v>
      </c>
      <c r="AT325" s="3">
        <f t="shared" si="55"/>
        <v>41006.25</v>
      </c>
      <c r="AU325" s="3">
        <f>+AU323+30</f>
        <v>300</v>
      </c>
      <c r="AW325" s="3">
        <f>ROUND((AX325/10-5)*POWER(AX325/10-3,2)/6,2)</f>
        <v>3037.5</v>
      </c>
      <c r="AX325" s="3">
        <f>+AX323+30</f>
        <v>300</v>
      </c>
      <c r="AY325" s="3">
        <f>ROUND((AZ325/10-5)*POWER(AZ325/10-3,3)/12,2)</f>
        <v>41006.25</v>
      </c>
      <c r="AZ325" s="3">
        <f>+AZ323+30</f>
        <v>300</v>
      </c>
    </row>
    <row r="326" spans="44:52" x14ac:dyDescent="0.15">
      <c r="AR326" s="63">
        <f t="shared" si="54"/>
        <v>3037.5010000000002</v>
      </c>
      <c r="AS326" s="3">
        <v>330</v>
      </c>
      <c r="AT326" s="3">
        <f t="shared" si="55"/>
        <v>41006.250999999997</v>
      </c>
      <c r="AU326" s="3">
        <v>330</v>
      </c>
      <c r="AW326" s="3">
        <f>+AW325+0.001</f>
        <v>3037.5010000000002</v>
      </c>
      <c r="AX326" s="3">
        <v>330</v>
      </c>
      <c r="AY326" s="3">
        <f>+AY325+0.001</f>
        <v>41006.250999999997</v>
      </c>
      <c r="AZ326" s="3">
        <v>330</v>
      </c>
    </row>
    <row r="327" spans="44:52" x14ac:dyDescent="0.15">
      <c r="AR327" s="63">
        <f t="shared" si="54"/>
        <v>4200</v>
      </c>
      <c r="AS327" s="3">
        <f>+AS325+30</f>
        <v>330</v>
      </c>
      <c r="AT327" s="3">
        <f t="shared" si="55"/>
        <v>63000</v>
      </c>
      <c r="AU327" s="3">
        <f>+AU325+30</f>
        <v>330</v>
      </c>
      <c r="AW327" s="3">
        <f>ROUND((AX327/10-5)*POWER(AX327/10-3,2)/6,2)</f>
        <v>4200</v>
      </c>
      <c r="AX327" s="3">
        <f>+AX325+30</f>
        <v>330</v>
      </c>
      <c r="AY327" s="3">
        <f>ROUND((AZ327/10-5)*POWER(AZ327/10-3,3)/12,2)</f>
        <v>63000</v>
      </c>
      <c r="AZ327" s="3">
        <f>+AZ325+30</f>
        <v>330</v>
      </c>
    </row>
    <row r="328" spans="44:52" x14ac:dyDescent="0.15">
      <c r="AR328" s="63">
        <f t="shared" si="54"/>
        <v>4200.0010000000002</v>
      </c>
      <c r="AS328" s="3">
        <f>+AS329</f>
        <v>360</v>
      </c>
      <c r="AT328" s="3">
        <f t="shared" si="55"/>
        <v>63000.000999999997</v>
      </c>
      <c r="AU328" s="3">
        <f>+AU329</f>
        <v>360</v>
      </c>
      <c r="AW328" s="3">
        <f>+AW327+0.001</f>
        <v>4200.0010000000002</v>
      </c>
      <c r="AX328" s="3">
        <f>+AX329</f>
        <v>360</v>
      </c>
      <c r="AY328" s="3">
        <f>+AY327+0.001</f>
        <v>63000.000999999997</v>
      </c>
      <c r="AZ328" s="3">
        <f>+AZ329</f>
        <v>360</v>
      </c>
    </row>
    <row r="329" spans="44:52" x14ac:dyDescent="0.15">
      <c r="AR329" s="63">
        <f t="shared" si="54"/>
        <v>5626.5</v>
      </c>
      <c r="AS329" s="3">
        <f>+AS327+30</f>
        <v>360</v>
      </c>
      <c r="AT329" s="3">
        <f t="shared" si="55"/>
        <v>92837.25</v>
      </c>
      <c r="AU329" s="3">
        <f>+AU327+30</f>
        <v>360</v>
      </c>
      <c r="AW329" s="3">
        <f>ROUND((AX329/10-5)*POWER(AX329/10-3,2)/6,2)</f>
        <v>5626.5</v>
      </c>
      <c r="AX329" s="3">
        <f>+AX327+30</f>
        <v>360</v>
      </c>
      <c r="AY329" s="3">
        <f>ROUND((AZ329/10-5)*POWER(AZ329/10-3,3)/12,2)</f>
        <v>92837.25</v>
      </c>
      <c r="AZ329" s="3">
        <f>+AZ327+30</f>
        <v>360</v>
      </c>
    </row>
    <row r="330" spans="44:52" x14ac:dyDescent="0.15">
      <c r="AR330" s="63">
        <f t="shared" si="54"/>
        <v>5626.5010000000002</v>
      </c>
      <c r="AS330" s="3">
        <f>+AS331</f>
        <v>390</v>
      </c>
      <c r="AT330" s="3">
        <f t="shared" si="55"/>
        <v>92837.251000000004</v>
      </c>
      <c r="AU330" s="3">
        <f>+AU331</f>
        <v>390</v>
      </c>
      <c r="AW330" s="3">
        <f>+AW329+0.001</f>
        <v>5626.5010000000002</v>
      </c>
      <c r="AX330" s="3">
        <f>+AX331</f>
        <v>390</v>
      </c>
      <c r="AY330" s="3">
        <f>+AY329+0.001</f>
        <v>92837.251000000004</v>
      </c>
      <c r="AZ330" s="3">
        <f>+AZ331</f>
        <v>390</v>
      </c>
    </row>
    <row r="331" spans="44:52" x14ac:dyDescent="0.15">
      <c r="AR331" s="63">
        <f t="shared" si="54"/>
        <v>7344</v>
      </c>
      <c r="AS331" s="3">
        <f>+AS329+30</f>
        <v>390</v>
      </c>
      <c r="AT331" s="3">
        <f t="shared" si="55"/>
        <v>132192</v>
      </c>
      <c r="AU331" s="3">
        <f>+AU329+30</f>
        <v>390</v>
      </c>
      <c r="AW331" s="3">
        <f>ROUND((AX331/10-5)*POWER(AX331/10-3,2)/6,2)</f>
        <v>7344</v>
      </c>
      <c r="AX331" s="3">
        <f>+AX329+30</f>
        <v>390</v>
      </c>
      <c r="AY331" s="3">
        <f>ROUND((AZ331/10-5)*POWER(AZ331/10-3,3)/12,2)</f>
        <v>132192</v>
      </c>
      <c r="AZ331" s="3">
        <f>+AZ329+30</f>
        <v>390</v>
      </c>
    </row>
    <row r="332" spans="44:52" x14ac:dyDescent="0.15">
      <c r="AR332" s="63">
        <f t="shared" si="54"/>
        <v>7344.0010000000002</v>
      </c>
      <c r="AS332" s="3">
        <f>+AS333</f>
        <v>420</v>
      </c>
      <c r="AT332" s="3">
        <f t="shared" si="55"/>
        <v>132192.00099999999</v>
      </c>
      <c r="AU332" s="3">
        <f>+AU333</f>
        <v>420</v>
      </c>
      <c r="AW332" s="3">
        <f>+AW331+0.001</f>
        <v>7344.0010000000002</v>
      </c>
      <c r="AX332" s="3">
        <f>+AX333</f>
        <v>420</v>
      </c>
      <c r="AY332" s="3">
        <f>+AY331+0.001</f>
        <v>132192.00099999999</v>
      </c>
      <c r="AZ332" s="3">
        <f>+AZ333</f>
        <v>420</v>
      </c>
    </row>
    <row r="333" spans="44:52" x14ac:dyDescent="0.15">
      <c r="AR333" s="63">
        <f t="shared" si="54"/>
        <v>9379.5</v>
      </c>
      <c r="AS333" s="3">
        <f>+AS331+30</f>
        <v>420</v>
      </c>
      <c r="AT333" s="3">
        <f t="shared" si="55"/>
        <v>182900.25</v>
      </c>
      <c r="AU333" s="3">
        <f>+AU331+30</f>
        <v>420</v>
      </c>
      <c r="AW333" s="3">
        <f>ROUND((AX333/10-5)*POWER(AX333/10-3,2)/6,2)</f>
        <v>9379.5</v>
      </c>
      <c r="AX333" s="3">
        <f>+AX331+30</f>
        <v>420</v>
      </c>
      <c r="AY333" s="3">
        <f>ROUND((AZ333/10-5)*POWER(AZ333/10-3,3)/12,2)</f>
        <v>182900.25</v>
      </c>
      <c r="AZ333" s="3">
        <f>+AZ331+30</f>
        <v>420</v>
      </c>
    </row>
    <row r="334" spans="44:52" x14ac:dyDescent="0.15">
      <c r="AR334" s="63">
        <f t="shared" si="54"/>
        <v>9379.5010000000002</v>
      </c>
      <c r="AS334" s="3">
        <f>+AS335</f>
        <v>450</v>
      </c>
      <c r="AT334" s="3">
        <f t="shared" si="55"/>
        <v>182900.25099999999</v>
      </c>
      <c r="AU334" s="3">
        <f>+AU335</f>
        <v>450</v>
      </c>
      <c r="AW334" s="3">
        <f>+AW333+0.001</f>
        <v>9379.5010000000002</v>
      </c>
      <c r="AX334" s="3">
        <f>+AX335</f>
        <v>450</v>
      </c>
      <c r="AY334" s="3">
        <f>+AY333+0.001</f>
        <v>182900.25099999999</v>
      </c>
      <c r="AZ334" s="3">
        <f>+AZ335</f>
        <v>450</v>
      </c>
    </row>
    <row r="335" spans="44:52" x14ac:dyDescent="0.15">
      <c r="AR335" s="63">
        <f t="shared" si="54"/>
        <v>11760</v>
      </c>
      <c r="AS335" s="3">
        <f>+AS333+30</f>
        <v>450</v>
      </c>
      <c r="AT335" s="3">
        <f t="shared" si="55"/>
        <v>246960</v>
      </c>
      <c r="AU335" s="3">
        <f>+AU333+30</f>
        <v>450</v>
      </c>
      <c r="AW335" s="3">
        <f>ROUND((AX335/10-5)*POWER(AX335/10-3,2)/6,2)</f>
        <v>11760</v>
      </c>
      <c r="AX335" s="3">
        <f>+AX333+30</f>
        <v>450</v>
      </c>
      <c r="AY335" s="3">
        <f>ROUND((AZ335/10-5)*POWER(AZ335/10-3,3)/12,2)</f>
        <v>246960</v>
      </c>
      <c r="AZ335" s="3">
        <f>+AZ333+30</f>
        <v>450</v>
      </c>
    </row>
    <row r="336" spans="44:52" x14ac:dyDescent="0.15">
      <c r="AR336" s="63">
        <f t="shared" si="54"/>
        <v>11760.001</v>
      </c>
      <c r="AS336" s="3">
        <f>+AS337</f>
        <v>480</v>
      </c>
      <c r="AT336" s="3">
        <f t="shared" si="55"/>
        <v>246960.00099999999</v>
      </c>
      <c r="AU336" s="3">
        <f>+AU337</f>
        <v>480</v>
      </c>
      <c r="AW336" s="3">
        <f>+AW335+0.001</f>
        <v>11760.001</v>
      </c>
      <c r="AX336" s="3">
        <f>+AX337</f>
        <v>480</v>
      </c>
      <c r="AY336" s="3">
        <f>+AY335+0.001</f>
        <v>246960.00099999999</v>
      </c>
      <c r="AZ336" s="3">
        <f>+AZ337</f>
        <v>480</v>
      </c>
    </row>
    <row r="337" spans="43:52" x14ac:dyDescent="0.15">
      <c r="AR337" s="63">
        <f t="shared" si="54"/>
        <v>14512.5</v>
      </c>
      <c r="AS337" s="3">
        <f>+AS335+30</f>
        <v>480</v>
      </c>
      <c r="AT337" s="3">
        <f t="shared" si="55"/>
        <v>326531.25</v>
      </c>
      <c r="AU337" s="3">
        <f>+AU335+30</f>
        <v>480</v>
      </c>
      <c r="AW337" s="3">
        <f>ROUND((AX337/10-5)*POWER(AX337/10-3,2)/6,2)</f>
        <v>14512.5</v>
      </c>
      <c r="AX337" s="3">
        <f>+AX335+30</f>
        <v>480</v>
      </c>
      <c r="AY337" s="3">
        <f>ROUND((AZ337/10-5)*POWER(AZ337/10-3,3)/12,2)</f>
        <v>326531.25</v>
      </c>
      <c r="AZ337" s="3">
        <f>+AZ335+30</f>
        <v>480</v>
      </c>
    </row>
    <row r="338" spans="43:52" x14ac:dyDescent="0.15">
      <c r="AR338" s="63">
        <f t="shared" si="54"/>
        <v>14512.501</v>
      </c>
      <c r="AS338" s="3">
        <f>+AS339</f>
        <v>510</v>
      </c>
      <c r="AT338" s="3">
        <f t="shared" si="55"/>
        <v>326531.25099999999</v>
      </c>
      <c r="AU338" s="3">
        <f>+AU339</f>
        <v>510</v>
      </c>
      <c r="AW338" s="3">
        <f>+AW337+0.001</f>
        <v>14512.501</v>
      </c>
      <c r="AX338" s="3">
        <f>+AX339</f>
        <v>510</v>
      </c>
      <c r="AY338" s="3">
        <f>+AY337+0.001</f>
        <v>326531.25099999999</v>
      </c>
      <c r="AZ338" s="3">
        <f>+AZ339</f>
        <v>510</v>
      </c>
    </row>
    <row r="339" spans="43:52" x14ac:dyDescent="0.15">
      <c r="AR339" s="63">
        <f t="shared" si="54"/>
        <v>17664</v>
      </c>
      <c r="AS339" s="3">
        <f>+AS337+30</f>
        <v>510</v>
      </c>
      <c r="AT339" s="3">
        <f t="shared" si="55"/>
        <v>423936</v>
      </c>
      <c r="AU339" s="3">
        <f>+AU337+30</f>
        <v>510</v>
      </c>
      <c r="AW339" s="3">
        <f>ROUND((AX339/10-5)*POWER(AX339/10-3,2)/6,2)</f>
        <v>17664</v>
      </c>
      <c r="AX339" s="3">
        <f>+AX337+30</f>
        <v>510</v>
      </c>
      <c r="AY339" s="3">
        <f>ROUND((AZ339/10-5)*POWER(AZ339/10-3,3)/12,2)</f>
        <v>423936</v>
      </c>
      <c r="AZ339" s="3">
        <f>+AZ337+30</f>
        <v>510</v>
      </c>
    </row>
    <row r="340" spans="43:52" x14ac:dyDescent="0.15">
      <c r="AR340" s="63">
        <f t="shared" si="54"/>
        <v>17664.001</v>
      </c>
      <c r="AS340" s="3">
        <f>+AS341</f>
        <v>540</v>
      </c>
      <c r="AT340" s="3">
        <f t="shared" si="55"/>
        <v>423936.00099999999</v>
      </c>
      <c r="AU340" s="3">
        <f>+AU341</f>
        <v>540</v>
      </c>
      <c r="AW340" s="3">
        <f>+AW339+0.001</f>
        <v>17664.001</v>
      </c>
      <c r="AX340" s="3">
        <f>+AX341</f>
        <v>540</v>
      </c>
      <c r="AY340" s="3">
        <f>+AY339+0.001</f>
        <v>423936.00099999999</v>
      </c>
      <c r="AZ340" s="3">
        <f>+AZ341</f>
        <v>540</v>
      </c>
    </row>
    <row r="341" spans="43:52" x14ac:dyDescent="0.15">
      <c r="AR341" s="63">
        <f t="shared" si="54"/>
        <v>21241.5</v>
      </c>
      <c r="AS341" s="3">
        <f>+AS339+30</f>
        <v>540</v>
      </c>
      <c r="AT341" s="3">
        <f t="shared" si="55"/>
        <v>541658.25</v>
      </c>
      <c r="AU341" s="3">
        <f>+AU339+30</f>
        <v>540</v>
      </c>
      <c r="AW341" s="3">
        <f>ROUND((AX341/10-5)*POWER(AX341/10-3,2)/6,2)</f>
        <v>21241.5</v>
      </c>
      <c r="AX341" s="3">
        <f>+AX339+30</f>
        <v>540</v>
      </c>
      <c r="AY341" s="3">
        <f>ROUND((AZ341/10-5)*POWER(AZ341/10-3,3)/12,2)</f>
        <v>541658.25</v>
      </c>
      <c r="AZ341" s="3">
        <f>+AZ339+30</f>
        <v>540</v>
      </c>
    </row>
    <row r="342" spans="43:52" x14ac:dyDescent="0.15">
      <c r="AR342" s="63">
        <f t="shared" si="54"/>
        <v>21241.501</v>
      </c>
      <c r="AS342" s="3">
        <f>+AS343</f>
        <v>570</v>
      </c>
      <c r="AT342" s="3">
        <f t="shared" si="55"/>
        <v>541658.25100000005</v>
      </c>
      <c r="AU342" s="3">
        <f>+AU343</f>
        <v>570</v>
      </c>
      <c r="AW342" s="3">
        <f>+AW341+0.001</f>
        <v>21241.501</v>
      </c>
      <c r="AX342" s="3">
        <f>+AX343</f>
        <v>570</v>
      </c>
      <c r="AY342" s="3">
        <f>+AY341+0.001</f>
        <v>541658.25100000005</v>
      </c>
      <c r="AZ342" s="3">
        <f>+AZ343</f>
        <v>570</v>
      </c>
    </row>
    <row r="343" spans="43:52" x14ac:dyDescent="0.15">
      <c r="AR343" s="63">
        <f t="shared" si="54"/>
        <v>25272</v>
      </c>
      <c r="AS343" s="3">
        <f>+AS341+30</f>
        <v>570</v>
      </c>
      <c r="AT343" s="3">
        <f t="shared" si="55"/>
        <v>682344</v>
      </c>
      <c r="AU343" s="3">
        <f>+AU341+30</f>
        <v>570</v>
      </c>
      <c r="AW343" s="3">
        <f>ROUND((AX343/10-5)*POWER(AX343/10-3,2)/6,2)</f>
        <v>25272</v>
      </c>
      <c r="AX343" s="3">
        <f>+AX341+30</f>
        <v>570</v>
      </c>
      <c r="AY343" s="3">
        <f>ROUND((AZ343/10-5)*POWER(AZ343/10-3,3)/12,2)</f>
        <v>682344</v>
      </c>
      <c r="AZ343" s="3">
        <f>+AZ341+30</f>
        <v>570</v>
      </c>
    </row>
    <row r="344" spans="43:52" x14ac:dyDescent="0.15">
      <c r="AR344" s="63">
        <f t="shared" si="54"/>
        <v>25272.001</v>
      </c>
      <c r="AS344" s="3">
        <f>+AS345</f>
        <v>600</v>
      </c>
      <c r="AT344" s="3">
        <f t="shared" si="55"/>
        <v>682344.00100000005</v>
      </c>
      <c r="AU344" s="3">
        <f>+AU345</f>
        <v>600</v>
      </c>
      <c r="AW344" s="3">
        <f>+AW343+0.001</f>
        <v>25272.001</v>
      </c>
      <c r="AX344" s="3">
        <f>+AX345</f>
        <v>600</v>
      </c>
      <c r="AY344" s="3">
        <f>+AY343+0.001</f>
        <v>682344.00100000005</v>
      </c>
      <c r="AZ344" s="3">
        <f>+AZ345</f>
        <v>600</v>
      </c>
    </row>
    <row r="345" spans="43:52" x14ac:dyDescent="0.15">
      <c r="AR345" s="63">
        <f t="shared" si="54"/>
        <v>29782.5</v>
      </c>
      <c r="AS345" s="3">
        <f>+AS343+30</f>
        <v>600</v>
      </c>
      <c r="AT345" s="3">
        <f t="shared" si="55"/>
        <v>848801.25</v>
      </c>
      <c r="AU345" s="3">
        <f>+AU343+30</f>
        <v>600</v>
      </c>
      <c r="AW345" s="3">
        <f>ROUND((AX345/10-5)*POWER(AX345/10-3,2)/6,2)</f>
        <v>29782.5</v>
      </c>
      <c r="AX345" s="3">
        <f>+AX343+30</f>
        <v>600</v>
      </c>
      <c r="AY345" s="3">
        <f>ROUND((AZ345/10-5)*POWER(AZ345/10-3,3)/12,2)</f>
        <v>848801.25</v>
      </c>
      <c r="AZ345" s="3">
        <f>+AZ343+30</f>
        <v>600</v>
      </c>
    </row>
    <row r="346" spans="43:52" x14ac:dyDescent="0.15">
      <c r="AR346" s="63">
        <f t="shared" si="54"/>
        <v>29782.501</v>
      </c>
      <c r="AS346" s="3">
        <f>+AS347</f>
        <v>630</v>
      </c>
      <c r="AT346" s="3">
        <f t="shared" si="55"/>
        <v>848801.25100000005</v>
      </c>
      <c r="AU346" s="3">
        <f>+AU347</f>
        <v>630</v>
      </c>
      <c r="AW346" s="3">
        <f>+AW345+0.001</f>
        <v>29782.501</v>
      </c>
      <c r="AX346" s="3">
        <f>+AX347</f>
        <v>630</v>
      </c>
      <c r="AY346" s="3">
        <f>+AY345+0.001</f>
        <v>848801.25100000005</v>
      </c>
      <c r="AZ346" s="3">
        <f>+AZ347</f>
        <v>630</v>
      </c>
    </row>
    <row r="347" spans="43:52" x14ac:dyDescent="0.15">
      <c r="AR347" s="63">
        <f t="shared" si="54"/>
        <v>34800</v>
      </c>
      <c r="AS347" s="3">
        <f>+AS345+30</f>
        <v>630</v>
      </c>
      <c r="AT347" s="3">
        <f t="shared" si="55"/>
        <v>1044000</v>
      </c>
      <c r="AU347" s="3">
        <f>+AU345+30</f>
        <v>630</v>
      </c>
      <c r="AW347" s="3">
        <f>ROUND((AX347/10-5)*POWER(AX347/10-3,2)/6,2)</f>
        <v>34800</v>
      </c>
      <c r="AX347" s="3">
        <f>+AX345+30</f>
        <v>630</v>
      </c>
      <c r="AY347" s="3">
        <f>ROUND((AZ347/10-5)*POWER(AZ347/10-3,3)/12,2)</f>
        <v>1044000</v>
      </c>
      <c r="AZ347" s="3">
        <f>+AZ345+30</f>
        <v>630</v>
      </c>
    </row>
    <row r="348" spans="43:52" x14ac:dyDescent="0.15">
      <c r="AR348" s="63">
        <f t="shared" si="54"/>
        <v>34800.000999999997</v>
      </c>
      <c r="AS348" s="3">
        <v>0</v>
      </c>
      <c r="AT348" s="3">
        <f t="shared" si="55"/>
        <v>1044000.001</v>
      </c>
      <c r="AU348" s="3">
        <v>0</v>
      </c>
      <c r="AW348" s="3">
        <f>+AW347+0.001</f>
        <v>34800.000999999997</v>
      </c>
      <c r="AY348" s="3">
        <f>+AY347+0.001</f>
        <v>1044000.001</v>
      </c>
    </row>
    <row r="350" spans="43:52" x14ac:dyDescent="0.15">
      <c r="AQ350" s="3">
        <v>0.9</v>
      </c>
      <c r="AR350" s="63">
        <f>+AW350*0.9</f>
        <v>4.05</v>
      </c>
      <c r="AS350" s="3">
        <v>60</v>
      </c>
      <c r="AT350" s="63">
        <f>+AY350*0.9</f>
        <v>6.0750000000000002</v>
      </c>
      <c r="AU350" s="3">
        <v>60</v>
      </c>
      <c r="AW350" s="3">
        <f>ROUND((AX350/10-3)*POWER(AX350/10-3,2)/6,2)</f>
        <v>4.5</v>
      </c>
      <c r="AX350" s="3">
        <v>60</v>
      </c>
      <c r="AY350" s="3">
        <f>ROUND((AZ350/10-3)*POWER(AZ350/10-3,3)/12,2)</f>
        <v>6.75</v>
      </c>
      <c r="AZ350" s="3">
        <v>60</v>
      </c>
    </row>
    <row r="351" spans="43:52" x14ac:dyDescent="0.15">
      <c r="AR351" s="63">
        <f t="shared" ref="AR351:AR395" si="56">+AW351*0.9</f>
        <v>4.0509000000000004</v>
      </c>
      <c r="AS351" s="3">
        <v>75</v>
      </c>
      <c r="AT351" s="63">
        <f t="shared" ref="AT351:AT395" si="57">+AY351*0.9</f>
        <v>6.0759000000000007</v>
      </c>
      <c r="AU351" s="3">
        <v>75</v>
      </c>
      <c r="AW351" s="3">
        <f>+AW350+0.001</f>
        <v>4.5010000000000003</v>
      </c>
      <c r="AX351" s="3">
        <v>75</v>
      </c>
      <c r="AY351" s="3">
        <f>+AY350+0.001</f>
        <v>6.7510000000000003</v>
      </c>
      <c r="AZ351" s="3">
        <v>75</v>
      </c>
    </row>
    <row r="352" spans="43:52" x14ac:dyDescent="0.15">
      <c r="AR352" s="63">
        <f t="shared" si="56"/>
        <v>13.670999999999999</v>
      </c>
      <c r="AS352" s="3">
        <v>75</v>
      </c>
      <c r="AT352" s="63">
        <f t="shared" si="57"/>
        <v>30.753000000000004</v>
      </c>
      <c r="AU352" s="3">
        <v>75</v>
      </c>
      <c r="AW352" s="3">
        <f>ROUND((AX352/10-3)*POWER(AX352/10-3,2)/6,2)</f>
        <v>15.19</v>
      </c>
      <c r="AX352" s="3">
        <v>75</v>
      </c>
      <c r="AY352" s="3">
        <f>ROUND((AZ352/10-3)*POWER(AZ352/10-3,3)/12,2)</f>
        <v>34.17</v>
      </c>
      <c r="AZ352" s="3">
        <v>75</v>
      </c>
    </row>
    <row r="353" spans="7:52" x14ac:dyDescent="0.15">
      <c r="AR353" s="63">
        <f t="shared" si="56"/>
        <v>13.671899999999999</v>
      </c>
      <c r="AS353" s="3">
        <v>90</v>
      </c>
      <c r="AT353" s="63">
        <f t="shared" si="57"/>
        <v>30.753900000000002</v>
      </c>
      <c r="AU353" s="3">
        <v>90</v>
      </c>
      <c r="AW353" s="3">
        <f>+AW352+0.001</f>
        <v>15.190999999999999</v>
      </c>
      <c r="AX353" s="3">
        <v>90</v>
      </c>
      <c r="AY353" s="3">
        <f>+AY352+0.001</f>
        <v>34.170999999999999</v>
      </c>
      <c r="AZ353" s="3">
        <v>90</v>
      </c>
    </row>
    <row r="354" spans="7:52" x14ac:dyDescent="0.15">
      <c r="AR354" s="63">
        <f t="shared" si="56"/>
        <v>32.4</v>
      </c>
      <c r="AS354" s="3">
        <v>90</v>
      </c>
      <c r="AT354" s="63">
        <f t="shared" si="57"/>
        <v>97.2</v>
      </c>
      <c r="AU354" s="3">
        <v>90</v>
      </c>
      <c r="AW354" s="3">
        <f>ROUND((AX354/10-3)*POWER(AX354/10-3,2)/6,2)</f>
        <v>36</v>
      </c>
      <c r="AX354" s="3">
        <v>90</v>
      </c>
      <c r="AY354" s="3">
        <f>ROUND((AZ354/10-3)*POWER(AZ354/10-3,3)/12,2)</f>
        <v>108</v>
      </c>
      <c r="AZ354" s="3">
        <v>90</v>
      </c>
    </row>
    <row r="355" spans="7:52" x14ac:dyDescent="0.15">
      <c r="AR355" s="63">
        <f t="shared" si="56"/>
        <v>32.4009</v>
      </c>
      <c r="AS355" s="3">
        <v>105</v>
      </c>
      <c r="AT355" s="63">
        <f t="shared" si="57"/>
        <v>97.200900000000004</v>
      </c>
      <c r="AU355" s="3">
        <v>105</v>
      </c>
      <c r="AW355" s="3">
        <f>+AW354+0.001</f>
        <v>36.000999999999998</v>
      </c>
      <c r="AX355" s="3">
        <v>105</v>
      </c>
      <c r="AY355" s="3">
        <f>+AY354+0.001</f>
        <v>108.001</v>
      </c>
      <c r="AZ355" s="3">
        <v>105</v>
      </c>
    </row>
    <row r="356" spans="7:52" x14ac:dyDescent="0.15">
      <c r="AR356" s="63">
        <f t="shared" si="56"/>
        <v>63.279000000000003</v>
      </c>
      <c r="AS356" s="3">
        <v>105</v>
      </c>
      <c r="AT356" s="63">
        <f t="shared" si="57"/>
        <v>237.30300000000003</v>
      </c>
      <c r="AU356" s="3">
        <v>105</v>
      </c>
      <c r="AW356" s="3">
        <f>ROUND((AX356/10-3)*POWER(AX356/10-3,2)/6,2)</f>
        <v>70.31</v>
      </c>
      <c r="AX356" s="3">
        <v>105</v>
      </c>
      <c r="AY356" s="3">
        <f>ROUND((AZ356/10-3)*POWER(AZ356/10-3,3)/12,2)</f>
        <v>263.67</v>
      </c>
      <c r="AZ356" s="3">
        <v>105</v>
      </c>
    </row>
    <row r="357" spans="7:52" x14ac:dyDescent="0.15">
      <c r="AR357" s="63">
        <f t="shared" si="56"/>
        <v>63.279900000000005</v>
      </c>
      <c r="AS357" s="3">
        <v>120</v>
      </c>
      <c r="AT357" s="63">
        <f t="shared" si="57"/>
        <v>237.3039</v>
      </c>
      <c r="AU357" s="3">
        <v>120</v>
      </c>
      <c r="AW357" s="3">
        <f>+AW356+0.001</f>
        <v>70.311000000000007</v>
      </c>
      <c r="AX357" s="3">
        <v>120</v>
      </c>
      <c r="AY357" s="3">
        <f>+AY356+0.001</f>
        <v>263.67099999999999</v>
      </c>
      <c r="AZ357" s="3">
        <v>120</v>
      </c>
    </row>
    <row r="358" spans="7:52" x14ac:dyDescent="0.15">
      <c r="AR358" s="63">
        <f t="shared" si="56"/>
        <v>109.35000000000001</v>
      </c>
      <c r="AS358" s="3">
        <v>120</v>
      </c>
      <c r="AT358" s="63">
        <f t="shared" si="57"/>
        <v>492.07499999999999</v>
      </c>
      <c r="AU358" s="3">
        <v>120</v>
      </c>
      <c r="AW358" s="3">
        <f>ROUND((AX358/10-3)*POWER(AX358/10-3,2)/6,2)</f>
        <v>121.5</v>
      </c>
      <c r="AX358" s="3">
        <v>120</v>
      </c>
      <c r="AY358" s="3">
        <f>ROUND((AZ358/10-3)*POWER(AZ358/10-3,3)/12,2)</f>
        <v>546.75</v>
      </c>
      <c r="AZ358" s="3">
        <v>120</v>
      </c>
    </row>
    <row r="359" spans="7:52" x14ac:dyDescent="0.15">
      <c r="AR359" s="63">
        <f t="shared" si="56"/>
        <v>109.35090000000001</v>
      </c>
      <c r="AS359" s="3">
        <v>135</v>
      </c>
      <c r="AT359" s="63">
        <f t="shared" si="57"/>
        <v>492.07589999999999</v>
      </c>
      <c r="AU359" s="3">
        <v>135</v>
      </c>
      <c r="AW359" s="3">
        <f>+AW358+0.001</f>
        <v>121.501</v>
      </c>
      <c r="AX359" s="3">
        <v>135</v>
      </c>
      <c r="AY359" s="3">
        <f>+AY358+0.001</f>
        <v>546.75099999999998</v>
      </c>
      <c r="AZ359" s="3">
        <v>135</v>
      </c>
    </row>
    <row r="360" spans="7:52" x14ac:dyDescent="0.15">
      <c r="AR360" s="63">
        <f t="shared" si="56"/>
        <v>173.64600000000002</v>
      </c>
      <c r="AS360" s="3">
        <v>135</v>
      </c>
      <c r="AT360" s="63">
        <f t="shared" si="57"/>
        <v>911.62799999999993</v>
      </c>
      <c r="AU360" s="3">
        <v>135</v>
      </c>
      <c r="AW360" s="3">
        <f>ROUND((AX360/10-3)*POWER(AX360/10-3,2)/6,2)</f>
        <v>192.94</v>
      </c>
      <c r="AX360" s="3">
        <v>135</v>
      </c>
      <c r="AY360" s="3">
        <f>ROUND((AZ360/10-3)*POWER(AZ360/10-3,3)/12,2)</f>
        <v>1012.92</v>
      </c>
      <c r="AZ360" s="3">
        <v>135</v>
      </c>
    </row>
    <row r="361" spans="7:52" x14ac:dyDescent="0.15">
      <c r="AR361" s="63">
        <f t="shared" si="56"/>
        <v>173.64690000000002</v>
      </c>
      <c r="AS361" s="3">
        <v>150</v>
      </c>
      <c r="AT361" s="63">
        <f t="shared" si="57"/>
        <v>911.62889999999993</v>
      </c>
      <c r="AU361" s="3">
        <v>150</v>
      </c>
      <c r="AW361" s="3">
        <f>+AW360+0.001</f>
        <v>192.941</v>
      </c>
      <c r="AX361" s="3">
        <v>150</v>
      </c>
      <c r="AY361" s="3">
        <f>+AY360+0.001</f>
        <v>1012.9209999999999</v>
      </c>
      <c r="AZ361" s="3">
        <v>150</v>
      </c>
    </row>
    <row r="362" spans="7:52" x14ac:dyDescent="0.15">
      <c r="AR362" s="63">
        <f t="shared" si="56"/>
        <v>259.2</v>
      </c>
      <c r="AS362" s="3">
        <v>150</v>
      </c>
      <c r="AT362" s="63">
        <f t="shared" si="57"/>
        <v>1555.2</v>
      </c>
      <c r="AU362" s="3">
        <v>150</v>
      </c>
      <c r="AW362" s="3">
        <f>ROUND((AX362/10-3)*POWER(AX362/10-3,2)/6,2)</f>
        <v>288</v>
      </c>
      <c r="AX362" s="3">
        <v>150</v>
      </c>
      <c r="AY362" s="3">
        <f>ROUND((AZ362/10-3)*POWER(AZ362/10-3,3)/12,2)</f>
        <v>1728</v>
      </c>
      <c r="AZ362" s="3">
        <v>150</v>
      </c>
    </row>
    <row r="363" spans="7:52" x14ac:dyDescent="0.15">
      <c r="AR363" s="63">
        <f t="shared" si="56"/>
        <v>259.20089999999999</v>
      </c>
      <c r="AS363" s="3">
        <v>180</v>
      </c>
      <c r="AT363" s="63">
        <f t="shared" si="57"/>
        <v>1555.2009</v>
      </c>
      <c r="AU363" s="3">
        <v>180</v>
      </c>
      <c r="AW363" s="3">
        <f>+AW362+0.001</f>
        <v>288.00099999999998</v>
      </c>
      <c r="AX363" s="3">
        <v>180</v>
      </c>
      <c r="AY363" s="3">
        <f>+AY362+0.001</f>
        <v>1728.001</v>
      </c>
      <c r="AZ363" s="3">
        <v>180</v>
      </c>
    </row>
    <row r="364" spans="7:52" x14ac:dyDescent="0.15">
      <c r="AR364" s="63">
        <f t="shared" si="56"/>
        <v>438.75</v>
      </c>
      <c r="AS364" s="3">
        <v>180</v>
      </c>
      <c r="AT364" s="63">
        <f t="shared" si="57"/>
        <v>3290.625</v>
      </c>
      <c r="AU364" s="3">
        <v>180</v>
      </c>
      <c r="AW364" s="3">
        <f>ROUND((AX364/10-5)*POWER(AX364/10-3,2)/6,2)</f>
        <v>487.5</v>
      </c>
      <c r="AX364" s="3">
        <v>180</v>
      </c>
      <c r="AY364" s="3">
        <f>ROUND((AZ364/10-5)*POWER(AZ364/10-3,3)/12,2)</f>
        <v>3656.25</v>
      </c>
      <c r="AZ364" s="3">
        <v>180</v>
      </c>
    </row>
    <row r="365" spans="7:52" x14ac:dyDescent="0.15">
      <c r="AR365" s="63">
        <f t="shared" si="56"/>
        <v>438.7509</v>
      </c>
      <c r="AS365" s="3">
        <v>210</v>
      </c>
      <c r="AT365" s="63">
        <f t="shared" si="57"/>
        <v>3290.6259000000005</v>
      </c>
      <c r="AU365" s="3">
        <v>210</v>
      </c>
      <c r="AW365" s="3">
        <f>+AW364+0.001</f>
        <v>487.50099999999998</v>
      </c>
      <c r="AX365" s="3">
        <v>210</v>
      </c>
      <c r="AY365" s="3">
        <f>+AY364+0.001</f>
        <v>3656.2510000000002</v>
      </c>
      <c r="AZ365" s="3">
        <v>210</v>
      </c>
    </row>
    <row r="366" spans="7:52" x14ac:dyDescent="0.15">
      <c r="AR366" s="63">
        <f t="shared" si="56"/>
        <v>777.6</v>
      </c>
      <c r="AS366" s="3">
        <v>210</v>
      </c>
      <c r="AT366" s="63">
        <f t="shared" si="57"/>
        <v>6998.4000000000005</v>
      </c>
      <c r="AU366" s="3">
        <v>210</v>
      </c>
      <c r="AW366" s="3">
        <f>ROUND((AX366/10-5)*POWER(AX366/10-3,2)/6,2)</f>
        <v>864</v>
      </c>
      <c r="AX366" s="3">
        <v>210</v>
      </c>
      <c r="AY366" s="3">
        <f>ROUND((AZ366/10-5)*POWER(AZ366/10-3,3)/12,2)</f>
        <v>7776</v>
      </c>
      <c r="AZ366" s="3">
        <v>210</v>
      </c>
    </row>
    <row r="367" spans="7:52" hidden="1" x14ac:dyDescent="0.15">
      <c r="AR367" s="63">
        <f t="shared" si="56"/>
        <v>777.60090000000002</v>
      </c>
      <c r="AS367" s="3">
        <v>240</v>
      </c>
      <c r="AT367" s="63">
        <f t="shared" si="57"/>
        <v>6998.4009000000005</v>
      </c>
      <c r="AU367" s="3">
        <v>240</v>
      </c>
      <c r="AW367" s="3">
        <f>+AW366+0.001</f>
        <v>864.00099999999998</v>
      </c>
      <c r="AX367" s="3">
        <v>240</v>
      </c>
      <c r="AY367" s="3">
        <f>+AY366+0.001</f>
        <v>7776.0010000000002</v>
      </c>
      <c r="AZ367" s="3">
        <v>240</v>
      </c>
    </row>
    <row r="368" spans="7:52" hidden="1" x14ac:dyDescent="0.15">
      <c r="G368" s="3" t="s">
        <v>610</v>
      </c>
      <c r="AR368" s="63">
        <f t="shared" si="56"/>
        <v>1256.8500000000001</v>
      </c>
      <c r="AS368" s="3">
        <f>+AS366+30</f>
        <v>240</v>
      </c>
      <c r="AT368" s="63">
        <f t="shared" si="57"/>
        <v>13196.925000000001</v>
      </c>
      <c r="AU368" s="3">
        <f>+AU366+30</f>
        <v>240</v>
      </c>
      <c r="AW368" s="3">
        <f>ROUND((AX368/10-5)*POWER(AX368/10-3,2)/6,2)</f>
        <v>1396.5</v>
      </c>
      <c r="AX368" s="3">
        <f>+AX366+30</f>
        <v>240</v>
      </c>
      <c r="AY368" s="3">
        <f>ROUND((AZ368/10-5)*POWER(AZ368/10-3,3)/12,2)</f>
        <v>14663.25</v>
      </c>
      <c r="AZ368" s="3">
        <f>+AZ366+30</f>
        <v>240</v>
      </c>
    </row>
    <row r="369" spans="7:52" hidden="1" x14ac:dyDescent="0.15">
      <c r="G369" s="3" t="s">
        <v>611</v>
      </c>
      <c r="AR369" s="63">
        <f t="shared" si="56"/>
        <v>1256.8508999999999</v>
      </c>
      <c r="AS369" s="3">
        <v>270</v>
      </c>
      <c r="AT369" s="63">
        <f t="shared" si="57"/>
        <v>13196.9259</v>
      </c>
      <c r="AU369" s="3">
        <v>270</v>
      </c>
      <c r="AW369" s="3">
        <f>+AW368+0.001</f>
        <v>1396.501</v>
      </c>
      <c r="AX369" s="3">
        <v>270</v>
      </c>
      <c r="AY369" s="3">
        <f>+AY368+0.001</f>
        <v>14663.251</v>
      </c>
      <c r="AZ369" s="3">
        <v>270</v>
      </c>
    </row>
    <row r="370" spans="7:52" hidden="1" x14ac:dyDescent="0.15">
      <c r="G370" s="3" t="s">
        <v>612</v>
      </c>
      <c r="AR370" s="63">
        <f t="shared" si="56"/>
        <v>1900.8</v>
      </c>
      <c r="AS370" s="3">
        <f>+AS368+30</f>
        <v>270</v>
      </c>
      <c r="AT370" s="63">
        <f t="shared" si="57"/>
        <v>22809.600000000002</v>
      </c>
      <c r="AU370" s="3">
        <f>+AU368+30</f>
        <v>270</v>
      </c>
      <c r="AW370" s="3">
        <f>ROUND((AX370/10-5)*POWER(AX370/10-3,2)/6,2)</f>
        <v>2112</v>
      </c>
      <c r="AX370" s="3">
        <f>+AX368+30</f>
        <v>270</v>
      </c>
      <c r="AY370" s="3">
        <f>ROUND((AZ370/10-5)*POWER(AZ370/10-3,3)/12,2)</f>
        <v>25344</v>
      </c>
      <c r="AZ370" s="3">
        <f>+AZ368+30</f>
        <v>270</v>
      </c>
    </row>
    <row r="371" spans="7:52" hidden="1" x14ac:dyDescent="0.15">
      <c r="G371" s="3" t="s">
        <v>613</v>
      </c>
      <c r="AR371" s="63">
        <f t="shared" si="56"/>
        <v>1900.8009000000002</v>
      </c>
      <c r="AS371" s="3">
        <v>300</v>
      </c>
      <c r="AT371" s="63">
        <f t="shared" si="57"/>
        <v>22809.600900000001</v>
      </c>
      <c r="AU371" s="3">
        <v>300</v>
      </c>
      <c r="AW371" s="3">
        <f>+AW370+0.001</f>
        <v>2112.0010000000002</v>
      </c>
      <c r="AX371" s="3">
        <v>300</v>
      </c>
      <c r="AY371" s="3">
        <f>+AY370+0.001</f>
        <v>25344.001</v>
      </c>
      <c r="AZ371" s="3">
        <v>300</v>
      </c>
    </row>
    <row r="372" spans="7:52" hidden="1" x14ac:dyDescent="0.15">
      <c r="G372" s="3" t="s">
        <v>614</v>
      </c>
      <c r="AR372" s="63">
        <f t="shared" si="56"/>
        <v>2733.75</v>
      </c>
      <c r="AS372" s="3">
        <f>+AS370+30</f>
        <v>300</v>
      </c>
      <c r="AT372" s="63">
        <f t="shared" si="57"/>
        <v>36905.625</v>
      </c>
      <c r="AU372" s="3">
        <f>+AU370+30</f>
        <v>300</v>
      </c>
      <c r="AW372" s="3">
        <f>ROUND((AX372/10-5)*POWER(AX372/10-3,2)/6,2)</f>
        <v>3037.5</v>
      </c>
      <c r="AX372" s="3">
        <f>+AX370+30</f>
        <v>300</v>
      </c>
      <c r="AY372" s="3">
        <f>ROUND((AZ372/10-5)*POWER(AZ372/10-3,3)/12,2)</f>
        <v>41006.25</v>
      </c>
      <c r="AZ372" s="3">
        <f>+AZ370+30</f>
        <v>300</v>
      </c>
    </row>
    <row r="373" spans="7:52" hidden="1" x14ac:dyDescent="0.15">
      <c r="G373" s="3" t="s">
        <v>540</v>
      </c>
      <c r="AR373" s="63">
        <f t="shared" si="56"/>
        <v>2733.7509000000005</v>
      </c>
      <c r="AS373" s="3">
        <v>330</v>
      </c>
      <c r="AT373" s="63">
        <f t="shared" si="57"/>
        <v>36905.625899999999</v>
      </c>
      <c r="AU373" s="3">
        <v>330</v>
      </c>
      <c r="AW373" s="3">
        <f>+AW372+0.001</f>
        <v>3037.5010000000002</v>
      </c>
      <c r="AX373" s="3">
        <v>330</v>
      </c>
      <c r="AY373" s="3">
        <f>+AY372+0.001</f>
        <v>41006.250999999997</v>
      </c>
      <c r="AZ373" s="3">
        <v>330</v>
      </c>
    </row>
    <row r="374" spans="7:52" hidden="1" x14ac:dyDescent="0.15">
      <c r="G374" s="3" t="s">
        <v>615</v>
      </c>
      <c r="AR374" s="63">
        <f t="shared" si="56"/>
        <v>3780</v>
      </c>
      <c r="AS374" s="3">
        <f>+AS372+30</f>
        <v>330</v>
      </c>
      <c r="AT374" s="63">
        <f t="shared" si="57"/>
        <v>56700</v>
      </c>
      <c r="AU374" s="3">
        <f>+AU372+30</f>
        <v>330</v>
      </c>
      <c r="AW374" s="3">
        <f>ROUND((AX374/10-5)*POWER(AX374/10-3,2)/6,2)</f>
        <v>4200</v>
      </c>
      <c r="AX374" s="3">
        <f>+AX372+30</f>
        <v>330</v>
      </c>
      <c r="AY374" s="3">
        <f>ROUND((AZ374/10-5)*POWER(AZ374/10-3,3)/12,2)</f>
        <v>63000</v>
      </c>
      <c r="AZ374" s="3">
        <f>+AZ372+30</f>
        <v>330</v>
      </c>
    </row>
    <row r="375" spans="7:52" hidden="1" x14ac:dyDescent="0.15">
      <c r="G375" s="3" t="s">
        <v>616</v>
      </c>
      <c r="AR375" s="63">
        <f t="shared" si="56"/>
        <v>3780.0009000000005</v>
      </c>
      <c r="AS375" s="3">
        <f>+AS393</f>
        <v>630</v>
      </c>
      <c r="AT375" s="63">
        <f t="shared" si="57"/>
        <v>56700.000899999999</v>
      </c>
      <c r="AU375" s="3">
        <f>+AU393</f>
        <v>630</v>
      </c>
      <c r="AW375" s="3">
        <f>+AW374+0.001</f>
        <v>4200.0010000000002</v>
      </c>
      <c r="AX375" s="3">
        <f>+AX376</f>
        <v>360</v>
      </c>
      <c r="AY375" s="3">
        <f>+AY374+0.001</f>
        <v>63000.000999999997</v>
      </c>
      <c r="AZ375" s="3">
        <f>+AZ376</f>
        <v>360</v>
      </c>
    </row>
    <row r="376" spans="7:52" hidden="1" x14ac:dyDescent="0.15">
      <c r="G376" s="3" t="s">
        <v>617</v>
      </c>
      <c r="AR376" s="63">
        <f t="shared" si="56"/>
        <v>5063.8500000000004</v>
      </c>
      <c r="AS376" s="3">
        <f>+AS374+30</f>
        <v>360</v>
      </c>
      <c r="AT376" s="63">
        <f t="shared" si="57"/>
        <v>83553.525000000009</v>
      </c>
      <c r="AU376" s="3">
        <f>+AU374+30</f>
        <v>360</v>
      </c>
      <c r="AW376" s="3">
        <f>ROUND((AX376/10-5)*POWER(AX376/10-3,2)/6,2)</f>
        <v>5626.5</v>
      </c>
      <c r="AX376" s="3">
        <f>+AX374+30</f>
        <v>360</v>
      </c>
      <c r="AY376" s="3">
        <f>ROUND((AZ376/10-5)*POWER(AZ376/10-3,3)/12,2)</f>
        <v>92837.25</v>
      </c>
      <c r="AZ376" s="3">
        <f>+AZ374+30</f>
        <v>360</v>
      </c>
    </row>
    <row r="377" spans="7:52" hidden="1" x14ac:dyDescent="0.15">
      <c r="G377" s="3" t="s">
        <v>618</v>
      </c>
      <c r="AR377" s="63">
        <f t="shared" si="56"/>
        <v>5063.8509000000004</v>
      </c>
      <c r="AS377" s="3">
        <f>+AS378</f>
        <v>390</v>
      </c>
      <c r="AT377" s="63">
        <f t="shared" si="57"/>
        <v>83553.525900000008</v>
      </c>
      <c r="AU377" s="3">
        <f>+AU378</f>
        <v>390</v>
      </c>
      <c r="AW377" s="3">
        <f>+AW376+0.001</f>
        <v>5626.5010000000002</v>
      </c>
      <c r="AX377" s="3">
        <f>+AX378</f>
        <v>390</v>
      </c>
      <c r="AY377" s="3">
        <f>+AY376+0.001</f>
        <v>92837.251000000004</v>
      </c>
      <c r="AZ377" s="3">
        <f>+AZ378</f>
        <v>390</v>
      </c>
    </row>
    <row r="378" spans="7:52" hidden="1" x14ac:dyDescent="0.15">
      <c r="G378" s="3" t="s">
        <v>619</v>
      </c>
      <c r="AR378" s="63">
        <f t="shared" si="56"/>
        <v>6609.6</v>
      </c>
      <c r="AS378" s="3">
        <f>+AS376+30</f>
        <v>390</v>
      </c>
      <c r="AT378" s="63">
        <f t="shared" si="57"/>
        <v>118972.8</v>
      </c>
      <c r="AU378" s="3">
        <f>+AU376+30</f>
        <v>390</v>
      </c>
      <c r="AW378" s="3">
        <f>ROUND((AX378/10-5)*POWER(AX378/10-3,2)/6,2)</f>
        <v>7344</v>
      </c>
      <c r="AX378" s="3">
        <f>+AX376+30</f>
        <v>390</v>
      </c>
      <c r="AY378" s="3">
        <f>ROUND((AZ378/10-5)*POWER(AZ378/10-3,3)/12,2)</f>
        <v>132192</v>
      </c>
      <c r="AZ378" s="3">
        <f>+AZ376+30</f>
        <v>390</v>
      </c>
    </row>
    <row r="379" spans="7:52" hidden="1" x14ac:dyDescent="0.15">
      <c r="G379" s="3" t="s">
        <v>620</v>
      </c>
      <c r="AR379" s="63">
        <f t="shared" si="56"/>
        <v>6609.6009000000004</v>
      </c>
      <c r="AS379" s="3">
        <f>+AS380</f>
        <v>420</v>
      </c>
      <c r="AT379" s="63">
        <f t="shared" si="57"/>
        <v>118972.80089999999</v>
      </c>
      <c r="AU379" s="3">
        <f>+AU380</f>
        <v>420</v>
      </c>
      <c r="AW379" s="3">
        <f>+AW378+0.001</f>
        <v>7344.0010000000002</v>
      </c>
      <c r="AX379" s="3">
        <f>+AX380</f>
        <v>420</v>
      </c>
      <c r="AY379" s="3">
        <f>+AY378+0.001</f>
        <v>132192.00099999999</v>
      </c>
      <c r="AZ379" s="3">
        <f>+AZ380</f>
        <v>420</v>
      </c>
    </row>
    <row r="380" spans="7:52" hidden="1" x14ac:dyDescent="0.15">
      <c r="G380" s="2" t="s">
        <v>621</v>
      </c>
      <c r="AR380" s="63">
        <f t="shared" si="56"/>
        <v>8441.5500000000011</v>
      </c>
      <c r="AS380" s="3">
        <f>+AS378+30</f>
        <v>420</v>
      </c>
      <c r="AT380" s="63">
        <f t="shared" si="57"/>
        <v>164610.22500000001</v>
      </c>
      <c r="AU380" s="3">
        <f>+AU378+30</f>
        <v>420</v>
      </c>
      <c r="AW380" s="3">
        <f>ROUND((AX380/10-5)*POWER(AX380/10-3,2)/6,2)</f>
        <v>9379.5</v>
      </c>
      <c r="AX380" s="3">
        <f>+AX378+30</f>
        <v>420</v>
      </c>
      <c r="AY380" s="3">
        <f>ROUND((AZ380/10-5)*POWER(AZ380/10-3,3)/12,2)</f>
        <v>182900.25</v>
      </c>
      <c r="AZ380" s="3">
        <f>+AZ378+30</f>
        <v>420</v>
      </c>
    </row>
    <row r="381" spans="7:52" hidden="1" x14ac:dyDescent="0.15">
      <c r="AR381" s="63">
        <f t="shared" si="56"/>
        <v>8441.5509000000002</v>
      </c>
      <c r="AS381" s="3">
        <f>+AS382</f>
        <v>450</v>
      </c>
      <c r="AT381" s="63">
        <f t="shared" si="57"/>
        <v>164610.22589999999</v>
      </c>
      <c r="AU381" s="3">
        <f>+AU382</f>
        <v>450</v>
      </c>
      <c r="AW381" s="3">
        <f>+AW380+0.001</f>
        <v>9379.5010000000002</v>
      </c>
      <c r="AX381" s="3">
        <f>+AX382</f>
        <v>450</v>
      </c>
      <c r="AY381" s="3">
        <f>+AY380+0.001</f>
        <v>182900.25099999999</v>
      </c>
      <c r="AZ381" s="3">
        <f>+AZ382</f>
        <v>450</v>
      </c>
    </row>
    <row r="382" spans="7:52" hidden="1" x14ac:dyDescent="0.15">
      <c r="AR382" s="63">
        <f t="shared" si="56"/>
        <v>10584</v>
      </c>
      <c r="AS382" s="3">
        <f>+AS380+30</f>
        <v>450</v>
      </c>
      <c r="AT382" s="63">
        <f t="shared" si="57"/>
        <v>222264</v>
      </c>
      <c r="AU382" s="3">
        <f>+AU380+30</f>
        <v>450</v>
      </c>
      <c r="AW382" s="3">
        <f>ROUND((AX382/10-5)*POWER(AX382/10-3,2)/6,2)</f>
        <v>11760</v>
      </c>
      <c r="AX382" s="3">
        <f>+AX380+30</f>
        <v>450</v>
      </c>
      <c r="AY382" s="3">
        <f>ROUND((AZ382/10-5)*POWER(AZ382/10-3,3)/12,2)</f>
        <v>246960</v>
      </c>
      <c r="AZ382" s="3">
        <f>+AZ380+30</f>
        <v>450</v>
      </c>
    </row>
    <row r="383" spans="7:52" hidden="1" x14ac:dyDescent="0.15">
      <c r="G383" s="639"/>
      <c r="AR383" s="63">
        <f t="shared" si="56"/>
        <v>10584.000900000001</v>
      </c>
      <c r="AS383" s="3">
        <f>+AS384</f>
        <v>480</v>
      </c>
      <c r="AT383" s="63">
        <f t="shared" si="57"/>
        <v>222264.00089999998</v>
      </c>
      <c r="AU383" s="3">
        <f>+AU384</f>
        <v>480</v>
      </c>
      <c r="AW383" s="3">
        <f>+AW382+0.001</f>
        <v>11760.001</v>
      </c>
      <c r="AX383" s="3">
        <f>+AX384</f>
        <v>480</v>
      </c>
      <c r="AY383" s="3">
        <f>+AY382+0.001</f>
        <v>246960.00099999999</v>
      </c>
      <c r="AZ383" s="3">
        <f>+AZ384</f>
        <v>480</v>
      </c>
    </row>
    <row r="384" spans="7:52" hidden="1" x14ac:dyDescent="0.15">
      <c r="G384" s="639" t="s">
        <v>961</v>
      </c>
      <c r="AR384" s="63">
        <f t="shared" si="56"/>
        <v>13061.25</v>
      </c>
      <c r="AS384" s="3">
        <f>+AS382+30</f>
        <v>480</v>
      </c>
      <c r="AT384" s="63">
        <f t="shared" si="57"/>
        <v>293878.125</v>
      </c>
      <c r="AU384" s="3">
        <f>+AU382+30</f>
        <v>480</v>
      </c>
      <c r="AW384" s="3">
        <f>ROUND((AX384/10-5)*POWER(AX384/10-3,2)/6,2)</f>
        <v>14512.5</v>
      </c>
      <c r="AX384" s="3">
        <f>+AX382+30</f>
        <v>480</v>
      </c>
      <c r="AY384" s="3">
        <f>ROUND((AZ384/10-5)*POWER(AZ384/10-3,3)/12,2)</f>
        <v>326531.25</v>
      </c>
      <c r="AZ384" s="3">
        <f>+AZ382+30</f>
        <v>480</v>
      </c>
    </row>
    <row r="385" spans="7:52" hidden="1" x14ac:dyDescent="0.15">
      <c r="AR385" s="63">
        <f t="shared" si="56"/>
        <v>13061.250900000001</v>
      </c>
      <c r="AS385" s="3">
        <f>+AS386</f>
        <v>510</v>
      </c>
      <c r="AT385" s="63">
        <f t="shared" si="57"/>
        <v>293878.12589999998</v>
      </c>
      <c r="AU385" s="3">
        <f>+AU386</f>
        <v>510</v>
      </c>
      <c r="AW385" s="3">
        <f>+AW384+0.001</f>
        <v>14512.501</v>
      </c>
      <c r="AX385" s="3">
        <f>+AX386</f>
        <v>510</v>
      </c>
      <c r="AY385" s="3">
        <f>+AY384+0.001</f>
        <v>326531.25099999999</v>
      </c>
      <c r="AZ385" s="3">
        <f>+AZ386</f>
        <v>510</v>
      </c>
    </row>
    <row r="386" spans="7:52" hidden="1" x14ac:dyDescent="0.15">
      <c r="I386" s="3" t="s">
        <v>959</v>
      </c>
      <c r="J386" s="3" t="s">
        <v>960</v>
      </c>
      <c r="AR386" s="63">
        <f t="shared" si="56"/>
        <v>15897.6</v>
      </c>
      <c r="AS386" s="3">
        <f>+AS384+30</f>
        <v>510</v>
      </c>
      <c r="AT386" s="63">
        <f t="shared" si="57"/>
        <v>381542.40000000002</v>
      </c>
      <c r="AU386" s="3">
        <f>+AU384+30</f>
        <v>510</v>
      </c>
      <c r="AW386" s="3">
        <f>ROUND((AX386/10-5)*POWER(AX386/10-3,2)/6,2)</f>
        <v>17664</v>
      </c>
      <c r="AX386" s="3">
        <f>+AX384+30</f>
        <v>510</v>
      </c>
      <c r="AY386" s="3">
        <f>ROUND((AZ386/10-5)*POWER(AZ386/10-3,3)/12,2)</f>
        <v>423936</v>
      </c>
      <c r="AZ386" s="3">
        <f>+AZ384+30</f>
        <v>510</v>
      </c>
    </row>
    <row r="387" spans="7:52" hidden="1" x14ac:dyDescent="0.15">
      <c r="G387" s="651">
        <v>1</v>
      </c>
      <c r="H387" s="9" t="s">
        <v>23</v>
      </c>
      <c r="I387" s="651">
        <f>+J387*10</f>
        <v>5000</v>
      </c>
      <c r="J387" s="651">
        <v>500</v>
      </c>
      <c r="AR387" s="63">
        <f t="shared" si="56"/>
        <v>15897.600900000001</v>
      </c>
      <c r="AS387" s="3">
        <f>+AS388</f>
        <v>540</v>
      </c>
      <c r="AT387" s="63">
        <f t="shared" si="57"/>
        <v>381542.40090000001</v>
      </c>
      <c r="AU387" s="3">
        <f>+AU388</f>
        <v>540</v>
      </c>
      <c r="AW387" s="3">
        <f>+AW386+0.001</f>
        <v>17664.001</v>
      </c>
      <c r="AX387" s="3">
        <f>+AX388</f>
        <v>540</v>
      </c>
      <c r="AY387" s="3">
        <f>+AY386+0.001</f>
        <v>423936.00099999999</v>
      </c>
      <c r="AZ387" s="3">
        <f>+AZ388</f>
        <v>540</v>
      </c>
    </row>
    <row r="388" spans="7:52" hidden="1" x14ac:dyDescent="0.15">
      <c r="G388" s="651">
        <v>2</v>
      </c>
      <c r="H388" s="9" t="s">
        <v>24</v>
      </c>
      <c r="I388" s="651">
        <f t="shared" ref="I388:I397" si="58">+J388*10</f>
        <v>6000</v>
      </c>
      <c r="J388" s="651">
        <v>600</v>
      </c>
      <c r="AR388" s="63">
        <f t="shared" si="56"/>
        <v>19117.350000000002</v>
      </c>
      <c r="AS388" s="3">
        <f>+AS386+30</f>
        <v>540</v>
      </c>
      <c r="AT388" s="63">
        <f t="shared" si="57"/>
        <v>487492.42499999999</v>
      </c>
      <c r="AU388" s="3">
        <f>+AU386+30</f>
        <v>540</v>
      </c>
      <c r="AW388" s="3">
        <f>ROUND((AX388/10-5)*POWER(AX388/10-3,2)/6,2)</f>
        <v>21241.5</v>
      </c>
      <c r="AX388" s="3">
        <f>+AX386+30</f>
        <v>540</v>
      </c>
      <c r="AY388" s="3">
        <f>ROUND((AZ388/10-5)*POWER(AZ388/10-3,3)/12,2)</f>
        <v>541658.25</v>
      </c>
      <c r="AZ388" s="3">
        <f>+AZ386+30</f>
        <v>540</v>
      </c>
    </row>
    <row r="389" spans="7:52" hidden="1" x14ac:dyDescent="0.15">
      <c r="G389" s="651">
        <v>3</v>
      </c>
      <c r="H389" s="9" t="s">
        <v>25</v>
      </c>
      <c r="I389" s="651">
        <f t="shared" si="58"/>
        <v>5000</v>
      </c>
      <c r="J389" s="651">
        <v>500</v>
      </c>
      <c r="AR389" s="63">
        <f t="shared" si="56"/>
        <v>19117.350900000001</v>
      </c>
      <c r="AS389" s="3">
        <f>+AS390</f>
        <v>570</v>
      </c>
      <c r="AT389" s="63">
        <f t="shared" si="57"/>
        <v>487492.42590000003</v>
      </c>
      <c r="AU389" s="3">
        <f>+AU390</f>
        <v>570</v>
      </c>
      <c r="AW389" s="3">
        <f>+AW388+0.001</f>
        <v>21241.501</v>
      </c>
      <c r="AX389" s="3">
        <f>+AX390</f>
        <v>570</v>
      </c>
      <c r="AY389" s="3">
        <f>+AY388+0.001</f>
        <v>541658.25100000005</v>
      </c>
      <c r="AZ389" s="3">
        <f>+AZ390</f>
        <v>570</v>
      </c>
    </row>
    <row r="390" spans="7:52" hidden="1" x14ac:dyDescent="0.15">
      <c r="G390" s="651">
        <v>4</v>
      </c>
      <c r="H390" s="9" t="s">
        <v>26</v>
      </c>
      <c r="I390" s="651">
        <f t="shared" si="58"/>
        <v>6000</v>
      </c>
      <c r="J390" s="651">
        <v>600</v>
      </c>
      <c r="AR390" s="63">
        <f t="shared" si="56"/>
        <v>22744.799999999999</v>
      </c>
      <c r="AS390" s="3">
        <f>+AS388+30</f>
        <v>570</v>
      </c>
      <c r="AT390" s="63">
        <f t="shared" si="57"/>
        <v>614109.6</v>
      </c>
      <c r="AU390" s="3">
        <f>+AU388+30</f>
        <v>570</v>
      </c>
      <c r="AW390" s="3">
        <f>ROUND((AX390/10-5)*POWER(AX390/10-3,2)/6,2)</f>
        <v>25272</v>
      </c>
      <c r="AX390" s="3">
        <f>+AX388+30</f>
        <v>570</v>
      </c>
      <c r="AY390" s="3">
        <f>ROUND((AZ390/10-5)*POWER(AZ390/10-3,3)/12,2)</f>
        <v>682344</v>
      </c>
      <c r="AZ390" s="3">
        <f>+AZ388+30</f>
        <v>570</v>
      </c>
    </row>
    <row r="391" spans="7:52" hidden="1" x14ac:dyDescent="0.15">
      <c r="G391" s="651">
        <v>5</v>
      </c>
      <c r="H391" s="9" t="s">
        <v>27</v>
      </c>
      <c r="I391" s="651">
        <f t="shared" si="58"/>
        <v>7000</v>
      </c>
      <c r="J391" s="651">
        <v>700</v>
      </c>
      <c r="AR391" s="63">
        <f t="shared" si="56"/>
        <v>22744.800900000002</v>
      </c>
      <c r="AS391" s="3">
        <f>+AS392</f>
        <v>600</v>
      </c>
      <c r="AT391" s="63">
        <f t="shared" si="57"/>
        <v>614109.60090000008</v>
      </c>
      <c r="AU391" s="3">
        <f>+AU392</f>
        <v>600</v>
      </c>
      <c r="AW391" s="3">
        <f>+AW390+0.001</f>
        <v>25272.001</v>
      </c>
      <c r="AX391" s="3">
        <f>+AX392</f>
        <v>600</v>
      </c>
      <c r="AY391" s="3">
        <f>+AY390+0.001</f>
        <v>682344.00100000005</v>
      </c>
      <c r="AZ391" s="3">
        <f>+AZ392</f>
        <v>600</v>
      </c>
    </row>
    <row r="392" spans="7:52" hidden="1" x14ac:dyDescent="0.15">
      <c r="G392" s="651">
        <v>6</v>
      </c>
      <c r="H392" s="9" t="s">
        <v>28</v>
      </c>
      <c r="I392" s="651">
        <f t="shared" si="58"/>
        <v>6000</v>
      </c>
      <c r="J392" s="651">
        <v>600</v>
      </c>
      <c r="AR392" s="63">
        <f t="shared" si="56"/>
        <v>26804.25</v>
      </c>
      <c r="AS392" s="3">
        <f>+AS390+30</f>
        <v>600</v>
      </c>
      <c r="AT392" s="63">
        <f t="shared" si="57"/>
        <v>763921.125</v>
      </c>
      <c r="AU392" s="3">
        <f>+AU390+30</f>
        <v>600</v>
      </c>
      <c r="AW392" s="3">
        <f>ROUND((AX392/10-5)*POWER(AX392/10-3,2)/6,2)</f>
        <v>29782.5</v>
      </c>
      <c r="AX392" s="3">
        <f>+AX390+30</f>
        <v>600</v>
      </c>
      <c r="AY392" s="3">
        <f>ROUND((AZ392/10-5)*POWER(AZ392/10-3,3)/12,2)</f>
        <v>848801.25</v>
      </c>
      <c r="AZ392" s="3">
        <f>+AZ390+30</f>
        <v>600</v>
      </c>
    </row>
    <row r="393" spans="7:52" hidden="1" x14ac:dyDescent="0.15">
      <c r="G393" s="651">
        <v>7</v>
      </c>
      <c r="H393" s="9" t="s">
        <v>29</v>
      </c>
      <c r="I393" s="651">
        <f t="shared" si="58"/>
        <v>6000</v>
      </c>
      <c r="J393" s="651">
        <v>600</v>
      </c>
      <c r="AR393" s="63">
        <f t="shared" si="56"/>
        <v>26804.250899999999</v>
      </c>
      <c r="AS393" s="3">
        <f>+AS394</f>
        <v>630</v>
      </c>
      <c r="AT393" s="63">
        <f t="shared" si="57"/>
        <v>763921.1259000001</v>
      </c>
      <c r="AU393" s="3">
        <f>+AU394</f>
        <v>630</v>
      </c>
      <c r="AW393" s="3">
        <f>+AW392+0.001</f>
        <v>29782.501</v>
      </c>
      <c r="AX393" s="3">
        <f>+AX394</f>
        <v>630</v>
      </c>
      <c r="AY393" s="3">
        <f>+AY392+0.001</f>
        <v>848801.25100000005</v>
      </c>
      <c r="AZ393" s="3">
        <f>+AZ394</f>
        <v>630</v>
      </c>
    </row>
    <row r="394" spans="7:52" hidden="1" x14ac:dyDescent="0.15">
      <c r="G394" s="651">
        <v>8</v>
      </c>
      <c r="H394" s="9" t="s">
        <v>30</v>
      </c>
      <c r="I394" s="651">
        <f t="shared" si="58"/>
        <v>7000</v>
      </c>
      <c r="J394" s="651">
        <v>700</v>
      </c>
      <c r="AR394" s="63">
        <f t="shared" si="56"/>
        <v>31320</v>
      </c>
      <c r="AS394" s="3">
        <f>+AS392+30</f>
        <v>630</v>
      </c>
      <c r="AT394" s="63">
        <f t="shared" si="57"/>
        <v>939600</v>
      </c>
      <c r="AU394" s="3">
        <f>+AU392+30</f>
        <v>630</v>
      </c>
      <c r="AW394" s="3">
        <f>ROUND((AX394/10-5)*POWER(AX394/10-3,2)/6,2)</f>
        <v>34800</v>
      </c>
      <c r="AX394" s="3">
        <f>+AX392+30</f>
        <v>630</v>
      </c>
      <c r="AY394" s="3">
        <f>ROUND((AZ394/10-5)*POWER(AZ394/10-3,3)/12,2)</f>
        <v>1044000</v>
      </c>
      <c r="AZ394" s="3">
        <f>+AZ392+30</f>
        <v>630</v>
      </c>
    </row>
    <row r="395" spans="7:52" hidden="1" x14ac:dyDescent="0.15">
      <c r="G395" s="651">
        <v>9</v>
      </c>
      <c r="H395" s="9" t="s">
        <v>31</v>
      </c>
      <c r="I395" s="651">
        <f t="shared" si="58"/>
        <v>7000</v>
      </c>
      <c r="J395" s="651">
        <v>700</v>
      </c>
      <c r="AR395" s="63">
        <f t="shared" si="56"/>
        <v>31320.000899999999</v>
      </c>
      <c r="AT395" s="63">
        <f t="shared" si="57"/>
        <v>939600.0009000001</v>
      </c>
      <c r="AW395" s="3">
        <f>+AW394+0.001</f>
        <v>34800.000999999997</v>
      </c>
      <c r="AY395" s="3">
        <f>+AY394+0.001</f>
        <v>1044000.001</v>
      </c>
    </row>
    <row r="396" spans="7:52" hidden="1" x14ac:dyDescent="0.15">
      <c r="G396" s="651">
        <v>10</v>
      </c>
      <c r="H396" s="9" t="s">
        <v>32</v>
      </c>
      <c r="I396" s="651">
        <f t="shared" si="58"/>
        <v>4000</v>
      </c>
      <c r="J396" s="651">
        <v>400</v>
      </c>
    </row>
    <row r="397" spans="7:52" hidden="1" x14ac:dyDescent="0.15">
      <c r="G397" s="651">
        <v>11</v>
      </c>
      <c r="H397" s="9" t="s">
        <v>33</v>
      </c>
      <c r="I397" s="651">
        <f t="shared" si="58"/>
        <v>5000</v>
      </c>
      <c r="J397" s="651">
        <v>500</v>
      </c>
      <c r="AQ397" s="3">
        <v>0.8</v>
      </c>
      <c r="AR397" s="63">
        <f>+AW397*0.8</f>
        <v>3.6</v>
      </c>
      <c r="AS397" s="3">
        <v>60</v>
      </c>
      <c r="AT397" s="63">
        <f>+AY397*$AQ$397</f>
        <v>5.4</v>
      </c>
      <c r="AU397" s="3">
        <v>60</v>
      </c>
      <c r="AW397" s="3">
        <f>ROUND((AX397/10-3)*POWER(AX397/10-3,2)/6,2)</f>
        <v>4.5</v>
      </c>
      <c r="AX397" s="3">
        <v>60</v>
      </c>
      <c r="AY397" s="3">
        <f>ROUND((AZ397/10-3)*POWER(AZ397/10-3,3)/12,2)</f>
        <v>6.75</v>
      </c>
      <c r="AZ397" s="3">
        <v>60</v>
      </c>
    </row>
    <row r="398" spans="7:52" x14ac:dyDescent="0.15">
      <c r="AR398" s="63">
        <f t="shared" ref="AR398:AR442" si="59">+AW398*0.8</f>
        <v>3.6008000000000004</v>
      </c>
      <c r="AS398" s="3">
        <v>75</v>
      </c>
      <c r="AT398" s="63">
        <f t="shared" ref="AT398:AT442" si="60">+AY398*$AQ$397</f>
        <v>5.4008000000000003</v>
      </c>
      <c r="AU398" s="3">
        <v>75</v>
      </c>
      <c r="AW398" s="3">
        <f>+AW397+0.001</f>
        <v>4.5010000000000003</v>
      </c>
      <c r="AX398" s="3">
        <v>75</v>
      </c>
      <c r="AY398" s="3">
        <f>+AY397+0.001</f>
        <v>6.7510000000000003</v>
      </c>
      <c r="AZ398" s="3">
        <v>75</v>
      </c>
    </row>
    <row r="399" spans="7:52" x14ac:dyDescent="0.15">
      <c r="AR399" s="63">
        <f t="shared" si="59"/>
        <v>12.152000000000001</v>
      </c>
      <c r="AS399" s="3">
        <v>75</v>
      </c>
      <c r="AT399" s="63">
        <f t="shared" si="60"/>
        <v>27.336000000000002</v>
      </c>
      <c r="AU399" s="3">
        <v>75</v>
      </c>
      <c r="AW399" s="3">
        <f>ROUND((AX399/10-3)*POWER(AX399/10-3,2)/6,2)</f>
        <v>15.19</v>
      </c>
      <c r="AX399" s="3">
        <v>75</v>
      </c>
      <c r="AY399" s="3">
        <f>ROUND((AZ399/10-3)*POWER(AZ399/10-3,3)/12,2)</f>
        <v>34.17</v>
      </c>
      <c r="AZ399" s="3">
        <v>75</v>
      </c>
    </row>
    <row r="400" spans="7:52" x14ac:dyDescent="0.15">
      <c r="AR400" s="63">
        <f t="shared" si="59"/>
        <v>12.152799999999999</v>
      </c>
      <c r="AS400" s="3">
        <v>90</v>
      </c>
      <c r="AT400" s="63">
        <f t="shared" si="60"/>
        <v>27.3368</v>
      </c>
      <c r="AU400" s="3">
        <v>90</v>
      </c>
      <c r="AW400" s="3">
        <f>+AW399+0.001</f>
        <v>15.190999999999999</v>
      </c>
      <c r="AX400" s="3">
        <v>90</v>
      </c>
      <c r="AY400" s="3">
        <f>+AY399+0.001</f>
        <v>34.170999999999999</v>
      </c>
      <c r="AZ400" s="3">
        <v>90</v>
      </c>
    </row>
    <row r="401" spans="44:52" x14ac:dyDescent="0.15">
      <c r="AR401" s="63">
        <f t="shared" si="59"/>
        <v>28.8</v>
      </c>
      <c r="AS401" s="3">
        <v>90</v>
      </c>
      <c r="AT401" s="63">
        <f t="shared" si="60"/>
        <v>86.4</v>
      </c>
      <c r="AU401" s="3">
        <v>90</v>
      </c>
      <c r="AW401" s="3">
        <f>ROUND((AX401/10-3)*POWER(AX401/10-3,2)/6,2)</f>
        <v>36</v>
      </c>
      <c r="AX401" s="3">
        <v>90</v>
      </c>
      <c r="AY401" s="3">
        <f>ROUND((AZ401/10-3)*POWER(AZ401/10-3,3)/12,2)</f>
        <v>108</v>
      </c>
      <c r="AZ401" s="3">
        <v>90</v>
      </c>
    </row>
    <row r="402" spans="44:52" x14ac:dyDescent="0.15">
      <c r="AR402" s="63">
        <f t="shared" si="59"/>
        <v>28.800799999999999</v>
      </c>
      <c r="AS402" s="3">
        <v>105</v>
      </c>
      <c r="AT402" s="63">
        <f t="shared" si="60"/>
        <v>86.400800000000004</v>
      </c>
      <c r="AU402" s="3">
        <v>105</v>
      </c>
      <c r="AW402" s="3">
        <f>+AW401+0.001</f>
        <v>36.000999999999998</v>
      </c>
      <c r="AX402" s="3">
        <v>105</v>
      </c>
      <c r="AY402" s="3">
        <f>+AY401+0.001</f>
        <v>108.001</v>
      </c>
      <c r="AZ402" s="3">
        <v>105</v>
      </c>
    </row>
    <row r="403" spans="44:52" x14ac:dyDescent="0.15">
      <c r="AR403" s="63">
        <f t="shared" si="59"/>
        <v>56.248000000000005</v>
      </c>
      <c r="AS403" s="3">
        <v>105</v>
      </c>
      <c r="AT403" s="63">
        <f t="shared" si="60"/>
        <v>210.93600000000004</v>
      </c>
      <c r="AU403" s="3">
        <v>105</v>
      </c>
      <c r="AW403" s="3">
        <f>ROUND((AX403/10-3)*POWER(AX403/10-3,2)/6,2)</f>
        <v>70.31</v>
      </c>
      <c r="AX403" s="3">
        <v>105</v>
      </c>
      <c r="AY403" s="3">
        <f>ROUND((AZ403/10-3)*POWER(AZ403/10-3,3)/12,2)</f>
        <v>263.67</v>
      </c>
      <c r="AZ403" s="3">
        <v>105</v>
      </c>
    </row>
    <row r="404" spans="44:52" x14ac:dyDescent="0.15">
      <c r="AR404" s="63">
        <f t="shared" si="59"/>
        <v>56.24880000000001</v>
      </c>
      <c r="AS404" s="3">
        <v>120</v>
      </c>
      <c r="AT404" s="63">
        <f t="shared" si="60"/>
        <v>210.93680000000001</v>
      </c>
      <c r="AU404" s="3">
        <v>120</v>
      </c>
      <c r="AW404" s="3">
        <f>+AW403+0.001</f>
        <v>70.311000000000007</v>
      </c>
      <c r="AX404" s="3">
        <v>120</v>
      </c>
      <c r="AY404" s="3">
        <f>+AY403+0.001</f>
        <v>263.67099999999999</v>
      </c>
      <c r="AZ404" s="3">
        <v>120</v>
      </c>
    </row>
    <row r="405" spans="44:52" x14ac:dyDescent="0.15">
      <c r="AR405" s="63">
        <f t="shared" si="59"/>
        <v>97.2</v>
      </c>
      <c r="AS405" s="3">
        <v>120</v>
      </c>
      <c r="AT405" s="63">
        <f t="shared" si="60"/>
        <v>437.40000000000003</v>
      </c>
      <c r="AU405" s="3">
        <v>120</v>
      </c>
      <c r="AW405" s="3">
        <f>ROUND((AX405/10-3)*POWER(AX405/10-3,2)/6,2)</f>
        <v>121.5</v>
      </c>
      <c r="AX405" s="3">
        <v>120</v>
      </c>
      <c r="AY405" s="3">
        <f>ROUND((AZ405/10-3)*POWER(AZ405/10-3,3)/12,2)</f>
        <v>546.75</v>
      </c>
      <c r="AZ405" s="3">
        <v>120</v>
      </c>
    </row>
    <row r="406" spans="44:52" x14ac:dyDescent="0.15">
      <c r="AR406" s="63">
        <f t="shared" si="59"/>
        <v>97.200800000000015</v>
      </c>
      <c r="AS406" s="3">
        <v>135</v>
      </c>
      <c r="AT406" s="63">
        <f t="shared" si="60"/>
        <v>437.4008</v>
      </c>
      <c r="AU406" s="3">
        <v>135</v>
      </c>
      <c r="AW406" s="3">
        <f>+AW405+0.001</f>
        <v>121.501</v>
      </c>
      <c r="AX406" s="3">
        <v>135</v>
      </c>
      <c r="AY406" s="3">
        <f>+AY405+0.001</f>
        <v>546.75099999999998</v>
      </c>
      <c r="AZ406" s="3">
        <v>135</v>
      </c>
    </row>
    <row r="407" spans="44:52" x14ac:dyDescent="0.15">
      <c r="AR407" s="63">
        <f t="shared" si="59"/>
        <v>154.352</v>
      </c>
      <c r="AS407" s="3">
        <v>135</v>
      </c>
      <c r="AT407" s="63">
        <f t="shared" si="60"/>
        <v>810.33600000000001</v>
      </c>
      <c r="AU407" s="3">
        <v>135</v>
      </c>
      <c r="AW407" s="3">
        <f>ROUND((AX407/10-3)*POWER(AX407/10-3,2)/6,2)</f>
        <v>192.94</v>
      </c>
      <c r="AX407" s="3">
        <v>135</v>
      </c>
      <c r="AY407" s="3">
        <f>ROUND((AZ407/10-3)*POWER(AZ407/10-3,3)/12,2)</f>
        <v>1012.92</v>
      </c>
      <c r="AZ407" s="3">
        <v>135</v>
      </c>
    </row>
    <row r="408" spans="44:52" x14ac:dyDescent="0.15">
      <c r="AR408" s="63">
        <f t="shared" si="59"/>
        <v>154.3528</v>
      </c>
      <c r="AS408" s="3">
        <v>150</v>
      </c>
      <c r="AT408" s="63">
        <f t="shared" si="60"/>
        <v>810.33680000000004</v>
      </c>
      <c r="AU408" s="3">
        <v>150</v>
      </c>
      <c r="AW408" s="3">
        <f>+AW407+0.001</f>
        <v>192.941</v>
      </c>
      <c r="AX408" s="3">
        <v>150</v>
      </c>
      <c r="AY408" s="3">
        <f>+AY407+0.001</f>
        <v>1012.9209999999999</v>
      </c>
      <c r="AZ408" s="3">
        <v>150</v>
      </c>
    </row>
    <row r="409" spans="44:52" x14ac:dyDescent="0.15">
      <c r="AR409" s="63">
        <f t="shared" si="59"/>
        <v>230.4</v>
      </c>
      <c r="AS409" s="3">
        <v>150</v>
      </c>
      <c r="AT409" s="63">
        <f t="shared" si="60"/>
        <v>1382.4</v>
      </c>
      <c r="AU409" s="3">
        <v>150</v>
      </c>
      <c r="AW409" s="3">
        <f>ROUND((AX409/10-3)*POWER(AX409/10-3,2)/6,2)</f>
        <v>288</v>
      </c>
      <c r="AX409" s="3">
        <v>150</v>
      </c>
      <c r="AY409" s="3">
        <f>ROUND((AZ409/10-3)*POWER(AZ409/10-3,3)/12,2)</f>
        <v>1728</v>
      </c>
      <c r="AZ409" s="3">
        <v>150</v>
      </c>
    </row>
    <row r="410" spans="44:52" x14ac:dyDescent="0.15">
      <c r="AR410" s="63">
        <f t="shared" si="59"/>
        <v>230.4008</v>
      </c>
      <c r="AS410" s="3">
        <v>180</v>
      </c>
      <c r="AT410" s="63">
        <f t="shared" si="60"/>
        <v>1382.4008000000001</v>
      </c>
      <c r="AU410" s="3">
        <v>180</v>
      </c>
      <c r="AW410" s="3">
        <f>+AW409+0.001</f>
        <v>288.00099999999998</v>
      </c>
      <c r="AX410" s="3">
        <v>180</v>
      </c>
      <c r="AY410" s="3">
        <f>+AY409+0.001</f>
        <v>1728.001</v>
      </c>
      <c r="AZ410" s="3">
        <v>180</v>
      </c>
    </row>
    <row r="411" spans="44:52" x14ac:dyDescent="0.15">
      <c r="AR411" s="63">
        <f t="shared" si="59"/>
        <v>390</v>
      </c>
      <c r="AS411" s="3">
        <v>180</v>
      </c>
      <c r="AT411" s="63">
        <f t="shared" si="60"/>
        <v>2925</v>
      </c>
      <c r="AU411" s="3">
        <v>180</v>
      </c>
      <c r="AW411" s="3">
        <f>ROUND((AX411/10-5)*POWER(AX411/10-3,2)/6,2)</f>
        <v>487.5</v>
      </c>
      <c r="AX411" s="3">
        <v>180</v>
      </c>
      <c r="AY411" s="3">
        <f>ROUND((AZ411/10-5)*POWER(AZ411/10-3,3)/12,2)</f>
        <v>3656.25</v>
      </c>
      <c r="AZ411" s="3">
        <v>180</v>
      </c>
    </row>
    <row r="412" spans="44:52" x14ac:dyDescent="0.15">
      <c r="AR412" s="63">
        <f t="shared" si="59"/>
        <v>390.00080000000003</v>
      </c>
      <c r="AS412" s="3">
        <v>210</v>
      </c>
      <c r="AT412" s="63">
        <f t="shared" si="60"/>
        <v>2925.0008000000003</v>
      </c>
      <c r="AU412" s="3">
        <v>210</v>
      </c>
      <c r="AW412" s="3">
        <f>+AW411+0.001</f>
        <v>487.50099999999998</v>
      </c>
      <c r="AX412" s="3">
        <v>210</v>
      </c>
      <c r="AY412" s="3">
        <f>+AY411+0.001</f>
        <v>3656.2510000000002</v>
      </c>
      <c r="AZ412" s="3">
        <v>210</v>
      </c>
    </row>
    <row r="413" spans="44:52" x14ac:dyDescent="0.15">
      <c r="AR413" s="63">
        <f t="shared" si="59"/>
        <v>691.2</v>
      </c>
      <c r="AS413" s="3">
        <v>210</v>
      </c>
      <c r="AT413" s="63">
        <f t="shared" si="60"/>
        <v>6220.8</v>
      </c>
      <c r="AU413" s="3">
        <v>210</v>
      </c>
      <c r="AW413" s="3">
        <f>ROUND((AX413/10-5)*POWER(AX413/10-3,2)/6,2)</f>
        <v>864</v>
      </c>
      <c r="AX413" s="3">
        <v>210</v>
      </c>
      <c r="AY413" s="3">
        <f>ROUND((AZ413/10-5)*POWER(AZ413/10-3,3)/12,2)</f>
        <v>7776</v>
      </c>
      <c r="AZ413" s="3">
        <v>210</v>
      </c>
    </row>
    <row r="414" spans="44:52" x14ac:dyDescent="0.15">
      <c r="AR414" s="63">
        <f t="shared" si="59"/>
        <v>691.20080000000007</v>
      </c>
      <c r="AS414" s="3">
        <v>240</v>
      </c>
      <c r="AT414" s="63">
        <f t="shared" si="60"/>
        <v>6220.8008000000009</v>
      </c>
      <c r="AU414" s="3">
        <v>240</v>
      </c>
      <c r="AW414" s="3">
        <f>+AW413+0.001</f>
        <v>864.00099999999998</v>
      </c>
      <c r="AX414" s="3">
        <v>240</v>
      </c>
      <c r="AY414" s="3">
        <f>+AY413+0.001</f>
        <v>7776.0010000000002</v>
      </c>
      <c r="AZ414" s="3">
        <v>240</v>
      </c>
    </row>
    <row r="415" spans="44:52" x14ac:dyDescent="0.15">
      <c r="AR415" s="63">
        <f t="shared" si="59"/>
        <v>1117.2</v>
      </c>
      <c r="AS415" s="3">
        <f>+AS413+30</f>
        <v>240</v>
      </c>
      <c r="AT415" s="63">
        <f t="shared" si="60"/>
        <v>11730.6</v>
      </c>
      <c r="AU415" s="3">
        <f>+AU413+30</f>
        <v>240</v>
      </c>
      <c r="AW415" s="3">
        <f>ROUND((AX415/10-5)*POWER(AX415/10-3,2)/6,2)</f>
        <v>1396.5</v>
      </c>
      <c r="AX415" s="3">
        <f>+AX413+30</f>
        <v>240</v>
      </c>
      <c r="AY415" s="3">
        <f>ROUND((AZ415/10-5)*POWER(AZ415/10-3,3)/12,2)</f>
        <v>14663.25</v>
      </c>
      <c r="AZ415" s="3">
        <f>+AZ413+30</f>
        <v>240</v>
      </c>
    </row>
    <row r="416" spans="44:52" x14ac:dyDescent="0.15">
      <c r="AR416" s="63">
        <f t="shared" si="59"/>
        <v>1117.2008000000001</v>
      </c>
      <c r="AS416" s="3">
        <v>270</v>
      </c>
      <c r="AT416" s="63">
        <f t="shared" si="60"/>
        <v>11730.6008</v>
      </c>
      <c r="AU416" s="3">
        <v>270</v>
      </c>
      <c r="AW416" s="3">
        <f>+AW415+0.001</f>
        <v>1396.501</v>
      </c>
      <c r="AX416" s="3">
        <v>270</v>
      </c>
      <c r="AY416" s="3">
        <f>+AY415+0.001</f>
        <v>14663.251</v>
      </c>
      <c r="AZ416" s="3">
        <v>270</v>
      </c>
    </row>
    <row r="417" spans="44:52" x14ac:dyDescent="0.15">
      <c r="AR417" s="63">
        <f t="shared" si="59"/>
        <v>1689.6000000000001</v>
      </c>
      <c r="AS417" s="3">
        <f>+AS415+30</f>
        <v>270</v>
      </c>
      <c r="AT417" s="63">
        <f t="shared" si="60"/>
        <v>20275.2</v>
      </c>
      <c r="AU417" s="3">
        <f>+AU415+30</f>
        <v>270</v>
      </c>
      <c r="AW417" s="3">
        <f>ROUND((AX417/10-5)*POWER(AX417/10-3,2)/6,2)</f>
        <v>2112</v>
      </c>
      <c r="AX417" s="3">
        <f>+AX415+30</f>
        <v>270</v>
      </c>
      <c r="AY417" s="3">
        <f>ROUND((AZ417/10-5)*POWER(AZ417/10-3,3)/12,2)</f>
        <v>25344</v>
      </c>
      <c r="AZ417" s="3">
        <f>+AZ415+30</f>
        <v>270</v>
      </c>
    </row>
    <row r="418" spans="44:52" x14ac:dyDescent="0.15">
      <c r="AR418" s="63">
        <f t="shared" si="59"/>
        <v>1689.6008000000002</v>
      </c>
      <c r="AS418" s="3">
        <v>300</v>
      </c>
      <c r="AT418" s="63">
        <f t="shared" si="60"/>
        <v>20275.200800000002</v>
      </c>
      <c r="AU418" s="3">
        <v>300</v>
      </c>
      <c r="AW418" s="3">
        <f>+AW417+0.001</f>
        <v>2112.0010000000002</v>
      </c>
      <c r="AX418" s="3">
        <v>300</v>
      </c>
      <c r="AY418" s="3">
        <f>+AY417+0.001</f>
        <v>25344.001</v>
      </c>
      <c r="AZ418" s="3">
        <v>300</v>
      </c>
    </row>
    <row r="419" spans="44:52" x14ac:dyDescent="0.15">
      <c r="AR419" s="63">
        <f t="shared" si="59"/>
        <v>2430</v>
      </c>
      <c r="AS419" s="3">
        <f>+AS417+30</f>
        <v>300</v>
      </c>
      <c r="AT419" s="63">
        <f t="shared" si="60"/>
        <v>32805</v>
      </c>
      <c r="AU419" s="3">
        <f>+AU417+30</f>
        <v>300</v>
      </c>
      <c r="AW419" s="3">
        <f>ROUND((AX419/10-5)*POWER(AX419/10-3,2)/6,2)</f>
        <v>3037.5</v>
      </c>
      <c r="AX419" s="3">
        <f>+AX417+30</f>
        <v>300</v>
      </c>
      <c r="AY419" s="3">
        <f>ROUND((AZ419/10-5)*POWER(AZ419/10-3,3)/12,2)</f>
        <v>41006.25</v>
      </c>
      <c r="AZ419" s="3">
        <f>+AZ417+30</f>
        <v>300</v>
      </c>
    </row>
    <row r="420" spans="44:52" x14ac:dyDescent="0.15">
      <c r="AR420" s="63">
        <f t="shared" si="59"/>
        <v>2430.0008000000003</v>
      </c>
      <c r="AS420" s="3">
        <v>330</v>
      </c>
      <c r="AT420" s="63">
        <f t="shared" si="60"/>
        <v>32805.000800000002</v>
      </c>
      <c r="AU420" s="3">
        <v>330</v>
      </c>
      <c r="AW420" s="3">
        <f>+AW419+0.001</f>
        <v>3037.5010000000002</v>
      </c>
      <c r="AX420" s="3">
        <v>330</v>
      </c>
      <c r="AY420" s="3">
        <f>+AY419+0.001</f>
        <v>41006.250999999997</v>
      </c>
      <c r="AZ420" s="3">
        <v>330</v>
      </c>
    </row>
    <row r="421" spans="44:52" x14ac:dyDescent="0.15">
      <c r="AR421" s="63">
        <f t="shared" si="59"/>
        <v>3360</v>
      </c>
      <c r="AS421" s="3">
        <f>+AS419+30</f>
        <v>330</v>
      </c>
      <c r="AT421" s="63">
        <f t="shared" si="60"/>
        <v>50400</v>
      </c>
      <c r="AU421" s="3">
        <f>+AU419+30</f>
        <v>330</v>
      </c>
      <c r="AW421" s="3">
        <f>ROUND((AX421/10-5)*POWER(AX421/10-3,2)/6,2)</f>
        <v>4200</v>
      </c>
      <c r="AX421" s="3">
        <f>+AX419+30</f>
        <v>330</v>
      </c>
      <c r="AY421" s="3">
        <f>ROUND((AZ421/10-5)*POWER(AZ421/10-3,3)/12,2)</f>
        <v>63000</v>
      </c>
      <c r="AZ421" s="3">
        <f>+AZ419+30</f>
        <v>330</v>
      </c>
    </row>
    <row r="422" spans="44:52" x14ac:dyDescent="0.15">
      <c r="AR422" s="63">
        <f t="shared" si="59"/>
        <v>3360.0008000000003</v>
      </c>
      <c r="AS422" s="3">
        <f>+AS423</f>
        <v>360</v>
      </c>
      <c r="AT422" s="63">
        <f t="shared" si="60"/>
        <v>50400.000800000002</v>
      </c>
      <c r="AU422" s="3">
        <f>+AU423</f>
        <v>360</v>
      </c>
      <c r="AW422" s="3">
        <f>+AW421+0.001</f>
        <v>4200.0010000000002</v>
      </c>
      <c r="AX422" s="3">
        <f>+AX423</f>
        <v>360</v>
      </c>
      <c r="AY422" s="3">
        <f>+AY421+0.001</f>
        <v>63000.000999999997</v>
      </c>
      <c r="AZ422" s="3">
        <f>+AZ423</f>
        <v>360</v>
      </c>
    </row>
    <row r="423" spans="44:52" x14ac:dyDescent="0.15">
      <c r="AR423" s="63">
        <f t="shared" si="59"/>
        <v>4501.2</v>
      </c>
      <c r="AS423" s="3">
        <f>+AS421+30</f>
        <v>360</v>
      </c>
      <c r="AT423" s="63">
        <f t="shared" si="60"/>
        <v>74269.8</v>
      </c>
      <c r="AU423" s="3">
        <f>+AU421+30</f>
        <v>360</v>
      </c>
      <c r="AW423" s="3">
        <f>ROUND((AX423/10-5)*POWER(AX423/10-3,2)/6,2)</f>
        <v>5626.5</v>
      </c>
      <c r="AX423" s="3">
        <f>+AX421+30</f>
        <v>360</v>
      </c>
      <c r="AY423" s="3">
        <f>ROUND((AZ423/10-5)*POWER(AZ423/10-3,3)/12,2)</f>
        <v>92837.25</v>
      </c>
      <c r="AZ423" s="3">
        <f>+AZ421+30</f>
        <v>360</v>
      </c>
    </row>
    <row r="424" spans="44:52" x14ac:dyDescent="0.15">
      <c r="AR424" s="63">
        <f t="shared" si="59"/>
        <v>4501.2008000000005</v>
      </c>
      <c r="AS424" s="3">
        <f>+AS425</f>
        <v>390</v>
      </c>
      <c r="AT424" s="63">
        <f t="shared" si="60"/>
        <v>74269.800800000012</v>
      </c>
      <c r="AU424" s="3">
        <f>+AU425</f>
        <v>390</v>
      </c>
      <c r="AW424" s="3">
        <f>+AW423+0.001</f>
        <v>5626.5010000000002</v>
      </c>
      <c r="AX424" s="3">
        <f>+AX425</f>
        <v>390</v>
      </c>
      <c r="AY424" s="3">
        <f>+AY423+0.001</f>
        <v>92837.251000000004</v>
      </c>
      <c r="AZ424" s="3">
        <f>+AZ425</f>
        <v>390</v>
      </c>
    </row>
    <row r="425" spans="44:52" x14ac:dyDescent="0.15">
      <c r="AR425" s="63">
        <f t="shared" si="59"/>
        <v>5875.2000000000007</v>
      </c>
      <c r="AS425" s="3">
        <f>+AS423+30</f>
        <v>390</v>
      </c>
      <c r="AT425" s="63">
        <f t="shared" si="60"/>
        <v>105753.60000000001</v>
      </c>
      <c r="AU425" s="3">
        <f>+AU423+30</f>
        <v>390</v>
      </c>
      <c r="AW425" s="3">
        <f>ROUND((AX425/10-5)*POWER(AX425/10-3,2)/6,2)</f>
        <v>7344</v>
      </c>
      <c r="AX425" s="3">
        <f>+AX423+30</f>
        <v>390</v>
      </c>
      <c r="AY425" s="3">
        <f>ROUND((AZ425/10-5)*POWER(AZ425/10-3,3)/12,2)</f>
        <v>132192</v>
      </c>
      <c r="AZ425" s="3">
        <f>+AZ423+30</f>
        <v>390</v>
      </c>
    </row>
    <row r="426" spans="44:52" x14ac:dyDescent="0.15">
      <c r="AR426" s="63">
        <f t="shared" si="59"/>
        <v>5875.2008000000005</v>
      </c>
      <c r="AS426" s="3">
        <f>+AS427</f>
        <v>420</v>
      </c>
      <c r="AT426" s="63">
        <f t="shared" si="60"/>
        <v>105753.6008</v>
      </c>
      <c r="AU426" s="3">
        <f>+AU427</f>
        <v>420</v>
      </c>
      <c r="AW426" s="3">
        <f>+AW425+0.001</f>
        <v>7344.0010000000002</v>
      </c>
      <c r="AX426" s="3">
        <f>+AX427</f>
        <v>420</v>
      </c>
      <c r="AY426" s="3">
        <f>+AY425+0.001</f>
        <v>132192.00099999999</v>
      </c>
      <c r="AZ426" s="3">
        <f>+AZ427</f>
        <v>420</v>
      </c>
    </row>
    <row r="427" spans="44:52" x14ac:dyDescent="0.15">
      <c r="AR427" s="63">
        <f t="shared" si="59"/>
        <v>7503.6</v>
      </c>
      <c r="AS427" s="3">
        <f>+AS425+30</f>
        <v>420</v>
      </c>
      <c r="AT427" s="63">
        <f t="shared" si="60"/>
        <v>146320.20000000001</v>
      </c>
      <c r="AU427" s="3">
        <f>+AU425+30</f>
        <v>420</v>
      </c>
      <c r="AW427" s="3">
        <f>ROUND((AX427/10-5)*POWER(AX427/10-3,2)/6,2)</f>
        <v>9379.5</v>
      </c>
      <c r="AX427" s="3">
        <f>+AX425+30</f>
        <v>420</v>
      </c>
      <c r="AY427" s="3">
        <f>ROUND((AZ427/10-5)*POWER(AZ427/10-3,3)/12,2)</f>
        <v>182900.25</v>
      </c>
      <c r="AZ427" s="3">
        <f>+AZ425+30</f>
        <v>420</v>
      </c>
    </row>
    <row r="428" spans="44:52" x14ac:dyDescent="0.15">
      <c r="AR428" s="63">
        <f t="shared" si="59"/>
        <v>7503.6008000000002</v>
      </c>
      <c r="AS428" s="3">
        <f>+AS429</f>
        <v>450</v>
      </c>
      <c r="AT428" s="63">
        <f t="shared" si="60"/>
        <v>146320.20079999999</v>
      </c>
      <c r="AU428" s="3">
        <f>+AU429</f>
        <v>450</v>
      </c>
      <c r="AW428" s="3">
        <f>+AW427+0.001</f>
        <v>9379.5010000000002</v>
      </c>
      <c r="AX428" s="3">
        <f>+AX429</f>
        <v>450</v>
      </c>
      <c r="AY428" s="3">
        <f>+AY427+0.001</f>
        <v>182900.25099999999</v>
      </c>
      <c r="AZ428" s="3">
        <f>+AZ429</f>
        <v>450</v>
      </c>
    </row>
    <row r="429" spans="44:52" x14ac:dyDescent="0.15">
      <c r="AR429" s="63">
        <f t="shared" si="59"/>
        <v>9408</v>
      </c>
      <c r="AS429" s="3">
        <f>+AS427+30</f>
        <v>450</v>
      </c>
      <c r="AT429" s="63">
        <f t="shared" si="60"/>
        <v>197568</v>
      </c>
      <c r="AU429" s="3">
        <f>+AU427+30</f>
        <v>450</v>
      </c>
      <c r="AW429" s="3">
        <f>ROUND((AX429/10-5)*POWER(AX429/10-3,2)/6,2)</f>
        <v>11760</v>
      </c>
      <c r="AX429" s="3">
        <f>+AX427+30</f>
        <v>450</v>
      </c>
      <c r="AY429" s="3">
        <f>ROUND((AZ429/10-5)*POWER(AZ429/10-3,3)/12,2)</f>
        <v>246960</v>
      </c>
      <c r="AZ429" s="3">
        <f>+AZ427+30</f>
        <v>450</v>
      </c>
    </row>
    <row r="430" spans="44:52" x14ac:dyDescent="0.15">
      <c r="AR430" s="63">
        <f t="shared" si="59"/>
        <v>9408.0007999999998</v>
      </c>
      <c r="AS430" s="3">
        <f>+AS431</f>
        <v>480</v>
      </c>
      <c r="AT430" s="63">
        <f t="shared" si="60"/>
        <v>197568.00080000001</v>
      </c>
      <c r="AU430" s="3">
        <f>+AU431</f>
        <v>480</v>
      </c>
      <c r="AW430" s="3">
        <f>+AW429+0.001</f>
        <v>11760.001</v>
      </c>
      <c r="AX430" s="3">
        <f>+AX431</f>
        <v>480</v>
      </c>
      <c r="AY430" s="3">
        <f>+AY429+0.001</f>
        <v>246960.00099999999</v>
      </c>
      <c r="AZ430" s="3">
        <f>+AZ431</f>
        <v>480</v>
      </c>
    </row>
    <row r="431" spans="44:52" x14ac:dyDescent="0.15">
      <c r="AR431" s="63">
        <f t="shared" si="59"/>
        <v>11610</v>
      </c>
      <c r="AS431" s="3">
        <f>+AS429+30</f>
        <v>480</v>
      </c>
      <c r="AT431" s="63">
        <f t="shared" si="60"/>
        <v>261225</v>
      </c>
      <c r="AU431" s="3">
        <f>+AU429+30</f>
        <v>480</v>
      </c>
      <c r="AW431" s="3">
        <f>ROUND((AX431/10-5)*POWER(AX431/10-3,2)/6,2)</f>
        <v>14512.5</v>
      </c>
      <c r="AX431" s="3">
        <f>+AX429+30</f>
        <v>480</v>
      </c>
      <c r="AY431" s="3">
        <f>ROUND((AZ431/10-5)*POWER(AZ431/10-3,3)/12,2)</f>
        <v>326531.25</v>
      </c>
      <c r="AZ431" s="3">
        <f>+AZ429+30</f>
        <v>480</v>
      </c>
    </row>
    <row r="432" spans="44:52" x14ac:dyDescent="0.15">
      <c r="AR432" s="63">
        <f t="shared" si="59"/>
        <v>11610.000800000002</v>
      </c>
      <c r="AS432" s="3">
        <f>+AS433</f>
        <v>510</v>
      </c>
      <c r="AT432" s="63">
        <f t="shared" si="60"/>
        <v>261225.00080000001</v>
      </c>
      <c r="AU432" s="3">
        <f>+AU433</f>
        <v>510</v>
      </c>
      <c r="AW432" s="3">
        <f>+AW431+0.001</f>
        <v>14512.501</v>
      </c>
      <c r="AX432" s="3">
        <f>+AX433</f>
        <v>510</v>
      </c>
      <c r="AY432" s="3">
        <f>+AY431+0.001</f>
        <v>326531.25099999999</v>
      </c>
      <c r="AZ432" s="3">
        <f>+AZ433</f>
        <v>510</v>
      </c>
    </row>
    <row r="433" spans="44:52" x14ac:dyDescent="0.15">
      <c r="AR433" s="63">
        <f t="shared" si="59"/>
        <v>14131.2</v>
      </c>
      <c r="AS433" s="3">
        <f>+AS431+30</f>
        <v>510</v>
      </c>
      <c r="AT433" s="63">
        <f t="shared" si="60"/>
        <v>339148.80000000005</v>
      </c>
      <c r="AU433" s="3">
        <f>+AU431+30</f>
        <v>510</v>
      </c>
      <c r="AW433" s="3">
        <f>ROUND((AX433/10-5)*POWER(AX433/10-3,2)/6,2)</f>
        <v>17664</v>
      </c>
      <c r="AX433" s="3">
        <f>+AX431+30</f>
        <v>510</v>
      </c>
      <c r="AY433" s="3">
        <f>ROUND((AZ433/10-5)*POWER(AZ433/10-3,3)/12,2)</f>
        <v>423936</v>
      </c>
      <c r="AZ433" s="3">
        <f>+AZ431+30</f>
        <v>510</v>
      </c>
    </row>
    <row r="434" spans="44:52" x14ac:dyDescent="0.15">
      <c r="AR434" s="63">
        <f t="shared" si="59"/>
        <v>14131.200800000001</v>
      </c>
      <c r="AS434" s="3">
        <f>+AS435</f>
        <v>540</v>
      </c>
      <c r="AT434" s="63">
        <f t="shared" si="60"/>
        <v>339148.80080000003</v>
      </c>
      <c r="AU434" s="3">
        <f>+AU435</f>
        <v>540</v>
      </c>
      <c r="AW434" s="3">
        <f>+AW433+0.001</f>
        <v>17664.001</v>
      </c>
      <c r="AX434" s="3">
        <f>+AX435</f>
        <v>540</v>
      </c>
      <c r="AY434" s="3">
        <f>+AY433+0.001</f>
        <v>423936.00099999999</v>
      </c>
      <c r="AZ434" s="3">
        <f>+AZ435</f>
        <v>540</v>
      </c>
    </row>
    <row r="435" spans="44:52" x14ac:dyDescent="0.15">
      <c r="AR435" s="63">
        <f t="shared" si="59"/>
        <v>16993.2</v>
      </c>
      <c r="AS435" s="3">
        <f>+AS433+30</f>
        <v>540</v>
      </c>
      <c r="AT435" s="63">
        <f t="shared" si="60"/>
        <v>433326.60000000003</v>
      </c>
      <c r="AU435" s="3">
        <f>+AU433+30</f>
        <v>540</v>
      </c>
      <c r="AW435" s="3">
        <f>ROUND((AX435/10-5)*POWER(AX435/10-3,2)/6,2)</f>
        <v>21241.5</v>
      </c>
      <c r="AX435" s="3">
        <f>+AX433+30</f>
        <v>540</v>
      </c>
      <c r="AY435" s="3">
        <f>ROUND((AZ435/10-5)*POWER(AZ435/10-3,3)/12,2)</f>
        <v>541658.25</v>
      </c>
      <c r="AZ435" s="3">
        <f>+AZ433+30</f>
        <v>540</v>
      </c>
    </row>
    <row r="436" spans="44:52" x14ac:dyDescent="0.15">
      <c r="AR436" s="63">
        <f t="shared" si="59"/>
        <v>16993.200800000002</v>
      </c>
      <c r="AS436" s="3">
        <f>+AS437</f>
        <v>570</v>
      </c>
      <c r="AT436" s="63">
        <f t="shared" si="60"/>
        <v>433326.60080000007</v>
      </c>
      <c r="AU436" s="3">
        <f>+AU437</f>
        <v>570</v>
      </c>
      <c r="AW436" s="3">
        <f>+AW435+0.001</f>
        <v>21241.501</v>
      </c>
      <c r="AX436" s="3">
        <f>+AX437</f>
        <v>570</v>
      </c>
      <c r="AY436" s="3">
        <f>+AY435+0.001</f>
        <v>541658.25100000005</v>
      </c>
      <c r="AZ436" s="3">
        <f>+AZ437</f>
        <v>570</v>
      </c>
    </row>
    <row r="437" spans="44:52" x14ac:dyDescent="0.15">
      <c r="AR437" s="63">
        <f t="shared" si="59"/>
        <v>20217.600000000002</v>
      </c>
      <c r="AS437" s="3">
        <f>+AS435+30</f>
        <v>570</v>
      </c>
      <c r="AT437" s="63">
        <f t="shared" si="60"/>
        <v>545875.20000000007</v>
      </c>
      <c r="AU437" s="3">
        <f>+AU435+30</f>
        <v>570</v>
      </c>
      <c r="AW437" s="3">
        <f>ROUND((AX437/10-5)*POWER(AX437/10-3,2)/6,2)</f>
        <v>25272</v>
      </c>
      <c r="AX437" s="3">
        <f>+AX435+30</f>
        <v>570</v>
      </c>
      <c r="AY437" s="3">
        <f>ROUND((AZ437/10-5)*POWER(AZ437/10-3,3)/12,2)</f>
        <v>682344</v>
      </c>
      <c r="AZ437" s="3">
        <f>+AZ435+30</f>
        <v>570</v>
      </c>
    </row>
    <row r="438" spans="44:52" x14ac:dyDescent="0.15">
      <c r="AR438" s="63">
        <f t="shared" si="59"/>
        <v>20217.6008</v>
      </c>
      <c r="AS438" s="3">
        <f>+AS439</f>
        <v>600</v>
      </c>
      <c r="AT438" s="63">
        <f t="shared" si="60"/>
        <v>545875.20080000011</v>
      </c>
      <c r="AU438" s="3">
        <f>+AU439</f>
        <v>600</v>
      </c>
      <c r="AW438" s="3">
        <f>+AW437+0.001</f>
        <v>25272.001</v>
      </c>
      <c r="AX438" s="3">
        <f>+AX439</f>
        <v>600</v>
      </c>
      <c r="AY438" s="3">
        <f>+AY437+0.001</f>
        <v>682344.00100000005</v>
      </c>
      <c r="AZ438" s="3">
        <f>+AZ439</f>
        <v>600</v>
      </c>
    </row>
    <row r="439" spans="44:52" x14ac:dyDescent="0.15">
      <c r="AR439" s="63">
        <f t="shared" si="59"/>
        <v>23826</v>
      </c>
      <c r="AS439" s="3">
        <f>+AS437+30</f>
        <v>600</v>
      </c>
      <c r="AT439" s="63">
        <f t="shared" si="60"/>
        <v>679041</v>
      </c>
      <c r="AU439" s="3">
        <f>+AU437+30</f>
        <v>600</v>
      </c>
      <c r="AW439" s="3">
        <f>ROUND((AX439/10-5)*POWER(AX439/10-3,2)/6,2)</f>
        <v>29782.5</v>
      </c>
      <c r="AX439" s="3">
        <f>+AX437+30</f>
        <v>600</v>
      </c>
      <c r="AY439" s="3">
        <f>ROUND((AZ439/10-5)*POWER(AZ439/10-3,3)/12,2)</f>
        <v>848801.25</v>
      </c>
      <c r="AZ439" s="3">
        <f>+AZ437+30</f>
        <v>600</v>
      </c>
    </row>
    <row r="440" spans="44:52" x14ac:dyDescent="0.15">
      <c r="AR440" s="63">
        <f t="shared" si="59"/>
        <v>23826.000800000002</v>
      </c>
      <c r="AS440" s="3">
        <f>+AS441</f>
        <v>630</v>
      </c>
      <c r="AT440" s="63">
        <f t="shared" si="60"/>
        <v>679041.00080000004</v>
      </c>
      <c r="AU440" s="3">
        <f>+AU441</f>
        <v>630</v>
      </c>
      <c r="AW440" s="3">
        <f>+AW439+0.001</f>
        <v>29782.501</v>
      </c>
      <c r="AX440" s="3">
        <f>+AX441</f>
        <v>630</v>
      </c>
      <c r="AY440" s="3">
        <f>+AY439+0.001</f>
        <v>848801.25100000005</v>
      </c>
      <c r="AZ440" s="3">
        <f>+AZ441</f>
        <v>630</v>
      </c>
    </row>
    <row r="441" spans="44:52" x14ac:dyDescent="0.15">
      <c r="AR441" s="63">
        <f t="shared" si="59"/>
        <v>27840</v>
      </c>
      <c r="AS441" s="3">
        <f>+AS439+30</f>
        <v>630</v>
      </c>
      <c r="AT441" s="63">
        <f t="shared" si="60"/>
        <v>835200</v>
      </c>
      <c r="AU441" s="3">
        <f>+AU439+30</f>
        <v>630</v>
      </c>
      <c r="AW441" s="3">
        <f>ROUND((AX441/10-5)*POWER(AX441/10-3,2)/6,2)</f>
        <v>34800</v>
      </c>
      <c r="AX441" s="3">
        <f>+AX439+30</f>
        <v>630</v>
      </c>
      <c r="AY441" s="3">
        <f>ROUND((AZ441/10-5)*POWER(AZ441/10-3,3)/12,2)</f>
        <v>1044000</v>
      </c>
      <c r="AZ441" s="3">
        <f>+AZ439+30</f>
        <v>630</v>
      </c>
    </row>
    <row r="442" spans="44:52" x14ac:dyDescent="0.15">
      <c r="AR442" s="63">
        <f t="shared" si="59"/>
        <v>27840.000799999998</v>
      </c>
      <c r="AS442" s="3">
        <v>0</v>
      </c>
      <c r="AT442" s="63">
        <f t="shared" si="60"/>
        <v>835200.00080000004</v>
      </c>
      <c r="AU442" s="3">
        <v>0</v>
      </c>
      <c r="AW442" s="3">
        <f>+AW441+0.001</f>
        <v>34800.000999999997</v>
      </c>
      <c r="AY442" s="3">
        <f>+AY441+0.001</f>
        <v>1044000.001</v>
      </c>
    </row>
    <row r="567" spans="3:16" x14ac:dyDescent="0.15">
      <c r="C567" s="63"/>
      <c r="D567" s="63"/>
      <c r="E567" s="63"/>
      <c r="F567" s="63"/>
    </row>
    <row r="568" spans="3:16" x14ac:dyDescent="0.15">
      <c r="C568" s="63"/>
      <c r="D568" s="63"/>
      <c r="E568" s="63"/>
      <c r="F568" s="63"/>
      <c r="G568" s="63"/>
      <c r="H568" s="10"/>
      <c r="I568" s="63"/>
      <c r="J568" s="63"/>
      <c r="K568" s="63"/>
      <c r="L568" s="63"/>
      <c r="M568" s="63"/>
      <c r="N568" s="63"/>
      <c r="O568" s="63"/>
      <c r="P568" s="63"/>
    </row>
    <row r="569" spans="3:16" hidden="1" x14ac:dyDescent="0.15">
      <c r="C569" s="63"/>
      <c r="D569" s="63"/>
      <c r="E569" s="63"/>
      <c r="F569" s="63"/>
      <c r="G569" s="63"/>
      <c r="H569" s="10" t="s">
        <v>23</v>
      </c>
      <c r="I569" s="63"/>
      <c r="J569" s="63"/>
      <c r="K569" s="63"/>
      <c r="L569" s="63"/>
      <c r="M569" s="63"/>
      <c r="N569" s="63"/>
      <c r="O569" s="63"/>
      <c r="P569" s="63"/>
    </row>
    <row r="570" spans="3:16" hidden="1" x14ac:dyDescent="0.15">
      <c r="C570" s="63"/>
      <c r="D570" s="63"/>
      <c r="E570" s="63"/>
      <c r="F570" s="63"/>
      <c r="G570" s="63"/>
      <c r="H570" s="10" t="s">
        <v>24</v>
      </c>
      <c r="I570" s="63"/>
      <c r="J570" s="63"/>
      <c r="K570" s="63"/>
      <c r="L570" s="63"/>
      <c r="M570" s="63"/>
      <c r="N570" s="63"/>
      <c r="O570" s="63"/>
      <c r="P570" s="63"/>
    </row>
    <row r="571" spans="3:16" hidden="1" x14ac:dyDescent="0.15">
      <c r="C571" s="63"/>
      <c r="D571" s="63"/>
      <c r="E571" s="63"/>
      <c r="F571" s="63"/>
      <c r="G571" s="63"/>
      <c r="H571" s="10" t="s">
        <v>25</v>
      </c>
      <c r="I571" s="63"/>
      <c r="J571" s="63"/>
      <c r="K571" s="63"/>
      <c r="L571" s="63"/>
      <c r="M571" s="63"/>
      <c r="N571" s="63"/>
      <c r="O571" s="63"/>
      <c r="P571" s="63"/>
    </row>
    <row r="572" spans="3:16" hidden="1" x14ac:dyDescent="0.15">
      <c r="C572" s="63"/>
      <c r="D572" s="63"/>
      <c r="E572" s="63"/>
      <c r="F572" s="63"/>
      <c r="G572" s="63"/>
      <c r="H572" s="10" t="s">
        <v>26</v>
      </c>
      <c r="I572" s="63"/>
      <c r="J572" s="63"/>
      <c r="K572" s="63"/>
      <c r="L572" s="63"/>
      <c r="M572" s="63"/>
      <c r="N572" s="63"/>
      <c r="O572" s="63"/>
      <c r="P572" s="63"/>
    </row>
    <row r="573" spans="3:16" hidden="1" x14ac:dyDescent="0.15">
      <c r="C573" s="63"/>
      <c r="D573" s="63"/>
      <c r="E573" s="63"/>
      <c r="F573" s="63"/>
      <c r="G573" s="63"/>
      <c r="H573" s="10" t="s">
        <v>27</v>
      </c>
      <c r="I573" s="63"/>
      <c r="J573" s="63"/>
      <c r="K573" s="63"/>
      <c r="L573" s="63"/>
      <c r="M573" s="63"/>
      <c r="N573" s="63"/>
      <c r="O573" s="63"/>
      <c r="P573" s="63"/>
    </row>
    <row r="574" spans="3:16" hidden="1" x14ac:dyDescent="0.15">
      <c r="C574" s="63"/>
      <c r="D574" s="63"/>
      <c r="E574" s="63"/>
      <c r="F574" s="63"/>
      <c r="G574" s="63"/>
      <c r="H574" s="10" t="s">
        <v>28</v>
      </c>
      <c r="I574" s="63"/>
      <c r="J574" s="63"/>
      <c r="K574" s="63"/>
      <c r="L574" s="63"/>
      <c r="M574" s="63"/>
      <c r="N574" s="63"/>
      <c r="O574" s="63"/>
      <c r="P574" s="63"/>
    </row>
    <row r="575" spans="3:16" hidden="1" x14ac:dyDescent="0.15">
      <c r="C575" s="63"/>
      <c r="D575" s="63"/>
      <c r="E575" s="63"/>
      <c r="F575" s="63"/>
      <c r="G575" s="63"/>
      <c r="H575" s="10" t="s">
        <v>29</v>
      </c>
      <c r="I575" s="63"/>
      <c r="J575" s="63"/>
      <c r="K575" s="63"/>
      <c r="L575" s="63"/>
      <c r="M575" s="63"/>
      <c r="N575" s="63"/>
      <c r="O575" s="63"/>
      <c r="P575" s="63"/>
    </row>
    <row r="576" spans="3:16" hidden="1" x14ac:dyDescent="0.15">
      <c r="C576" s="63"/>
      <c r="D576" s="63"/>
      <c r="E576" s="63"/>
      <c r="F576" s="63"/>
      <c r="G576" s="63"/>
      <c r="H576" s="10" t="s">
        <v>30</v>
      </c>
      <c r="I576" s="63"/>
      <c r="J576" s="63"/>
      <c r="K576" s="63"/>
      <c r="L576" s="63"/>
      <c r="M576" s="63"/>
      <c r="N576" s="63"/>
      <c r="O576" s="63"/>
      <c r="P576" s="63"/>
    </row>
    <row r="577" spans="3:16" hidden="1" x14ac:dyDescent="0.15">
      <c r="C577" s="63"/>
      <c r="D577" s="63"/>
      <c r="E577" s="63"/>
      <c r="F577" s="63"/>
      <c r="G577" s="63"/>
      <c r="H577" s="10" t="s">
        <v>31</v>
      </c>
      <c r="I577" s="63"/>
      <c r="J577" s="63"/>
      <c r="K577" s="63"/>
      <c r="L577" s="63"/>
      <c r="M577" s="63"/>
      <c r="N577" s="63"/>
      <c r="O577" s="63"/>
      <c r="P577" s="63"/>
    </row>
    <row r="578" spans="3:16" hidden="1" x14ac:dyDescent="0.15">
      <c r="C578" s="63"/>
      <c r="D578" s="63"/>
      <c r="E578" s="63"/>
      <c r="F578" s="63"/>
      <c r="G578" s="63"/>
      <c r="H578" s="10" t="s">
        <v>32</v>
      </c>
      <c r="I578" s="63"/>
      <c r="J578" s="63"/>
      <c r="K578" s="63"/>
      <c r="L578" s="63"/>
      <c r="M578" s="63"/>
      <c r="N578" s="63"/>
      <c r="O578" s="63"/>
      <c r="P578" s="63"/>
    </row>
    <row r="579" spans="3:16" hidden="1" x14ac:dyDescent="0.15">
      <c r="C579" s="63"/>
      <c r="D579" s="63"/>
      <c r="E579" s="63"/>
      <c r="F579" s="63"/>
      <c r="G579" s="63"/>
      <c r="H579" s="10" t="s">
        <v>33</v>
      </c>
      <c r="I579" s="63"/>
      <c r="J579" s="63"/>
      <c r="K579" s="63"/>
      <c r="L579" s="63"/>
      <c r="M579" s="63"/>
      <c r="N579" s="63"/>
      <c r="O579" s="63"/>
      <c r="P579" s="63"/>
    </row>
    <row r="580" spans="3:16" hidden="1" x14ac:dyDescent="0.15">
      <c r="C580" s="63"/>
      <c r="D580" s="63"/>
      <c r="E580" s="63"/>
      <c r="F580" s="63"/>
      <c r="G580" s="63"/>
      <c r="H580" s="10" t="s">
        <v>34</v>
      </c>
      <c r="I580" s="63"/>
      <c r="J580" s="63"/>
      <c r="K580" s="63"/>
      <c r="L580" s="63"/>
      <c r="M580" s="63"/>
      <c r="N580" s="63"/>
      <c r="O580" s="63"/>
      <c r="P580" s="63"/>
    </row>
    <row r="581" spans="3:16" hidden="1" x14ac:dyDescent="0.15">
      <c r="C581" s="63"/>
      <c r="D581" s="63"/>
      <c r="E581" s="63"/>
      <c r="F581" s="63"/>
      <c r="G581" s="63"/>
      <c r="H581" s="10" t="s">
        <v>35</v>
      </c>
      <c r="I581" s="63"/>
      <c r="J581" s="63"/>
      <c r="K581" s="63"/>
      <c r="L581" s="63"/>
      <c r="M581" s="63"/>
      <c r="N581" s="63"/>
      <c r="O581" s="63"/>
      <c r="P581" s="63"/>
    </row>
    <row r="582" spans="3:16" hidden="1" x14ac:dyDescent="0.15">
      <c r="C582" s="63"/>
      <c r="D582" s="63"/>
      <c r="E582" s="63"/>
      <c r="F582" s="63"/>
      <c r="G582" s="63"/>
      <c r="H582" s="10" t="s">
        <v>36</v>
      </c>
      <c r="I582" s="63"/>
      <c r="J582" s="63"/>
      <c r="K582" s="63"/>
      <c r="L582" s="63"/>
      <c r="M582" s="63"/>
      <c r="N582" s="63"/>
      <c r="O582" s="63"/>
      <c r="P582" s="63"/>
    </row>
    <row r="583" spans="3:16" hidden="1" x14ac:dyDescent="0.15">
      <c r="C583" s="63"/>
      <c r="D583" s="63"/>
      <c r="E583" s="63"/>
      <c r="F583" s="63"/>
      <c r="G583" s="63"/>
      <c r="H583" s="10" t="s">
        <v>37</v>
      </c>
      <c r="I583" s="63"/>
      <c r="J583" s="63"/>
      <c r="K583" s="63"/>
      <c r="L583" s="63"/>
      <c r="M583" s="63"/>
      <c r="N583" s="63"/>
      <c r="O583" s="63"/>
      <c r="P583" s="63"/>
    </row>
    <row r="584" spans="3:16" hidden="1" x14ac:dyDescent="0.15">
      <c r="C584" s="63"/>
      <c r="D584" s="63"/>
      <c r="E584" s="63"/>
      <c r="F584" s="63"/>
      <c r="G584" s="63"/>
      <c r="H584" s="10" t="s">
        <v>38</v>
      </c>
      <c r="I584" s="63"/>
      <c r="J584" s="63"/>
      <c r="K584" s="63"/>
      <c r="L584" s="63"/>
      <c r="M584" s="63"/>
      <c r="N584" s="63"/>
      <c r="O584" s="63"/>
      <c r="P584" s="63"/>
    </row>
    <row r="585" spans="3:16" hidden="1" x14ac:dyDescent="0.15">
      <c r="C585" s="78"/>
      <c r="D585" s="78"/>
      <c r="E585" s="63"/>
      <c r="F585" s="63"/>
      <c r="G585" s="63"/>
      <c r="H585" s="10" t="s">
        <v>39</v>
      </c>
      <c r="I585" s="63"/>
      <c r="J585" s="63"/>
      <c r="K585" s="63"/>
      <c r="L585" s="63"/>
      <c r="M585" s="63"/>
      <c r="N585" s="63"/>
      <c r="O585" s="63"/>
      <c r="P585" s="63"/>
    </row>
    <row r="586" spans="3:16" hidden="1" x14ac:dyDescent="0.15">
      <c r="C586" s="79" t="s">
        <v>278</v>
      </c>
      <c r="D586" s="79"/>
      <c r="E586" s="63"/>
      <c r="F586" s="63"/>
      <c r="G586" s="63"/>
      <c r="H586" s="10"/>
      <c r="I586" s="63"/>
      <c r="J586" s="63"/>
      <c r="K586" s="63"/>
      <c r="L586" s="63"/>
      <c r="M586" s="63"/>
      <c r="N586" s="63"/>
      <c r="O586" s="63"/>
      <c r="P586" s="63"/>
    </row>
    <row r="587" spans="3:16" hidden="1" x14ac:dyDescent="0.15">
      <c r="C587" s="79" t="s">
        <v>279</v>
      </c>
      <c r="D587" s="79"/>
      <c r="E587" s="63"/>
      <c r="F587" s="63"/>
      <c r="G587" s="63"/>
      <c r="H587" s="10"/>
      <c r="I587" s="63"/>
      <c r="J587" s="63"/>
      <c r="K587" s="63"/>
      <c r="L587" s="63"/>
      <c r="M587" s="63"/>
      <c r="N587" s="63"/>
      <c r="O587" s="63"/>
      <c r="P587" s="63"/>
    </row>
    <row r="588" spans="3:16" hidden="1" x14ac:dyDescent="0.15">
      <c r="C588" s="79" t="s">
        <v>280</v>
      </c>
      <c r="D588" s="79"/>
      <c r="E588" s="63"/>
      <c r="F588" s="63">
        <v>21</v>
      </c>
      <c r="G588" s="63"/>
      <c r="H588" s="10"/>
      <c r="I588" s="63"/>
      <c r="J588" s="63"/>
      <c r="K588" s="63"/>
      <c r="L588" s="63"/>
      <c r="M588" s="63"/>
      <c r="N588" s="63"/>
      <c r="O588" s="63"/>
      <c r="P588" s="63"/>
    </row>
    <row r="589" spans="3:16" hidden="1" x14ac:dyDescent="0.15">
      <c r="C589" s="79" t="s">
        <v>281</v>
      </c>
      <c r="D589" s="79"/>
      <c r="E589" s="63"/>
      <c r="F589" s="63">
        <v>24</v>
      </c>
      <c r="G589" s="63"/>
      <c r="H589" s="10"/>
      <c r="I589" s="63"/>
      <c r="J589" s="63"/>
      <c r="K589" s="63"/>
      <c r="L589" s="63"/>
      <c r="M589" s="63"/>
      <c r="N589" s="63"/>
      <c r="O589" s="63"/>
      <c r="P589" s="63"/>
    </row>
    <row r="590" spans="3:16" hidden="1" x14ac:dyDescent="0.15">
      <c r="C590" s="79" t="s">
        <v>282</v>
      </c>
      <c r="D590" s="79"/>
      <c r="E590" s="63"/>
      <c r="F590" s="63">
        <v>30</v>
      </c>
      <c r="G590" s="63"/>
      <c r="H590" s="10"/>
      <c r="I590" s="63"/>
      <c r="J590" s="63" t="s">
        <v>251</v>
      </c>
      <c r="K590" s="63"/>
      <c r="L590" s="63"/>
      <c r="M590" s="63"/>
      <c r="N590" s="63"/>
      <c r="O590" s="63"/>
      <c r="P590" s="63"/>
    </row>
    <row r="591" spans="3:16" hidden="1" x14ac:dyDescent="0.15">
      <c r="C591" s="82" t="s">
        <v>283</v>
      </c>
      <c r="D591" s="82"/>
      <c r="E591" s="63"/>
      <c r="F591" s="63">
        <v>40</v>
      </c>
      <c r="G591" s="63"/>
      <c r="H591" s="10"/>
      <c r="I591" s="63"/>
      <c r="J591" s="63" t="s">
        <v>252</v>
      </c>
      <c r="K591" s="63"/>
      <c r="L591" s="63"/>
      <c r="M591" s="63"/>
      <c r="N591" s="63"/>
      <c r="O591" s="63"/>
      <c r="P591" s="63"/>
    </row>
    <row r="592" spans="3:16" hidden="1" x14ac:dyDescent="0.15">
      <c r="C592" s="14" t="s">
        <v>284</v>
      </c>
      <c r="D592" s="14"/>
      <c r="E592" s="63"/>
      <c r="F592" s="63">
        <v>45</v>
      </c>
      <c r="G592" s="63"/>
      <c r="H592" s="10"/>
      <c r="I592" s="63"/>
      <c r="J592" s="63"/>
      <c r="K592" s="63"/>
      <c r="L592" s="63"/>
      <c r="M592" s="63"/>
      <c r="N592" s="63"/>
      <c r="O592" s="63"/>
      <c r="P592" s="63"/>
    </row>
    <row r="593" spans="3:16" hidden="1" x14ac:dyDescent="0.15">
      <c r="C593" s="79" t="s">
        <v>285</v>
      </c>
      <c r="D593" s="79"/>
      <c r="E593" s="63"/>
      <c r="F593" s="63">
        <v>60</v>
      </c>
      <c r="G593" s="63"/>
      <c r="H593" s="10"/>
      <c r="I593" s="63"/>
      <c r="J593" s="63"/>
      <c r="K593" s="63"/>
      <c r="L593" s="63"/>
      <c r="M593" s="63"/>
      <c r="N593" s="63"/>
      <c r="O593" s="63"/>
      <c r="P593" s="63"/>
    </row>
    <row r="594" spans="3:16" hidden="1" x14ac:dyDescent="0.15">
      <c r="C594" s="79" t="s">
        <v>286</v>
      </c>
      <c r="D594" s="79"/>
      <c r="E594" s="63"/>
      <c r="F594" s="63">
        <v>75</v>
      </c>
      <c r="G594" s="63"/>
      <c r="H594" s="10"/>
      <c r="I594" s="63">
        <v>1</v>
      </c>
      <c r="J594" s="77" t="s">
        <v>260</v>
      </c>
      <c r="K594" s="96">
        <f>+準備!G20</f>
        <v>450</v>
      </c>
      <c r="L594" s="63" t="e">
        <f>ROUND(K594*#REF!/100,1)</f>
        <v>#REF!</v>
      </c>
      <c r="M594" s="63">
        <v>1</v>
      </c>
      <c r="N594" s="3" t="s">
        <v>727</v>
      </c>
      <c r="O594" s="96">
        <f>+準備!$G$20</f>
        <v>450</v>
      </c>
      <c r="P594" s="63"/>
    </row>
    <row r="595" spans="3:16" hidden="1" x14ac:dyDescent="0.15">
      <c r="C595" s="63"/>
      <c r="D595" s="63"/>
      <c r="E595" s="63"/>
      <c r="F595" s="63">
        <v>90</v>
      </c>
      <c r="G595" s="63"/>
      <c r="H595" s="10"/>
      <c r="I595" s="63">
        <v>2</v>
      </c>
      <c r="J595" s="77" t="s">
        <v>261</v>
      </c>
      <c r="K595" s="96">
        <f>+準備!G24</f>
        <v>1100</v>
      </c>
      <c r="L595" s="63" t="e">
        <f>ROUND(K595*#REF!/100,1)</f>
        <v>#REF!</v>
      </c>
      <c r="M595" s="63">
        <v>2</v>
      </c>
      <c r="N595" s="3" t="s">
        <v>728</v>
      </c>
      <c r="O595" s="96">
        <f>+準備!$G$24</f>
        <v>1100</v>
      </c>
      <c r="P595" s="63"/>
    </row>
    <row r="596" spans="3:16" hidden="1" x14ac:dyDescent="0.15">
      <c r="C596" s="63"/>
      <c r="D596" s="63"/>
      <c r="E596" s="63"/>
      <c r="F596" s="63">
        <v>105</v>
      </c>
      <c r="G596" s="63">
        <v>21</v>
      </c>
      <c r="H596" s="10"/>
      <c r="I596" s="63">
        <v>3</v>
      </c>
      <c r="J596" s="77" t="s">
        <v>262</v>
      </c>
      <c r="K596" s="96">
        <f>+準備!G28</f>
        <v>1400</v>
      </c>
      <c r="L596" s="63" t="e">
        <f>ROUND(K596*#REF!/100,1)</f>
        <v>#REF!</v>
      </c>
      <c r="M596" s="63">
        <v>3</v>
      </c>
      <c r="N596" s="3" t="s">
        <v>729</v>
      </c>
      <c r="O596" s="96">
        <f>+準備!$G$28</f>
        <v>1400</v>
      </c>
      <c r="P596" s="63"/>
    </row>
    <row r="597" spans="3:16" hidden="1" x14ac:dyDescent="0.15">
      <c r="C597" s="63"/>
      <c r="D597" s="63"/>
      <c r="E597" s="63"/>
      <c r="F597" s="63">
        <v>120</v>
      </c>
      <c r="G597" s="63">
        <v>24</v>
      </c>
      <c r="H597" s="63"/>
      <c r="I597" s="63"/>
      <c r="J597" s="77"/>
      <c r="K597" s="63"/>
      <c r="L597" s="63"/>
      <c r="M597" s="63">
        <v>4</v>
      </c>
      <c r="N597" s="3" t="s">
        <v>730</v>
      </c>
      <c r="O597" s="96">
        <f>+準備!$G$32</f>
        <v>1750</v>
      </c>
      <c r="P597" s="63"/>
    </row>
    <row r="598" spans="3:16" hidden="1" x14ac:dyDescent="0.15">
      <c r="C598" s="63"/>
      <c r="D598" s="63"/>
      <c r="E598" s="63"/>
      <c r="F598" s="63">
        <v>135</v>
      </c>
      <c r="G598" s="63">
        <v>30</v>
      </c>
      <c r="H598" s="63"/>
      <c r="I598" s="63"/>
      <c r="J598" s="77">
        <v>1</v>
      </c>
      <c r="K598" s="63"/>
      <c r="L598" s="63"/>
      <c r="M598" s="63">
        <v>5</v>
      </c>
      <c r="N598" s="3" t="s">
        <v>731</v>
      </c>
      <c r="O598" s="96">
        <f>+準備!$G$36</f>
        <v>1750</v>
      </c>
      <c r="P598" s="63"/>
    </row>
    <row r="599" spans="3:16" hidden="1" x14ac:dyDescent="0.15">
      <c r="C599" s="63"/>
      <c r="D599" s="63"/>
      <c r="E599" s="63"/>
      <c r="F599" s="63">
        <v>150</v>
      </c>
      <c r="G599" s="63">
        <v>40</v>
      </c>
      <c r="H599" s="63"/>
      <c r="I599" s="63"/>
      <c r="J599" s="10">
        <v>0.9</v>
      </c>
      <c r="K599" s="63"/>
      <c r="L599" s="63"/>
      <c r="M599" s="63">
        <v>6</v>
      </c>
      <c r="N599" s="23" t="s">
        <v>732</v>
      </c>
      <c r="O599" s="96">
        <f>+準備!$G$38</f>
        <v>400</v>
      </c>
      <c r="P599" s="63"/>
    </row>
    <row r="600" spans="3:16" hidden="1" x14ac:dyDescent="0.15">
      <c r="C600" s="63"/>
      <c r="D600" s="63"/>
      <c r="E600" s="63"/>
      <c r="F600" s="63">
        <v>180</v>
      </c>
      <c r="G600" s="63">
        <v>45</v>
      </c>
      <c r="H600" s="63"/>
      <c r="I600" s="63"/>
      <c r="J600" s="77">
        <v>0.8</v>
      </c>
      <c r="K600" s="63"/>
      <c r="L600" s="63"/>
      <c r="M600" s="63"/>
      <c r="N600" s="63"/>
      <c r="O600" s="63"/>
      <c r="P600" s="63"/>
    </row>
    <row r="601" spans="3:16" hidden="1" x14ac:dyDescent="0.15">
      <c r="C601" s="63"/>
      <c r="D601" s="63"/>
      <c r="E601" s="63"/>
      <c r="F601" s="63">
        <v>210</v>
      </c>
      <c r="G601" s="63">
        <v>60</v>
      </c>
      <c r="H601" s="63"/>
      <c r="I601" s="63"/>
      <c r="J601" s="77"/>
      <c r="K601" s="63"/>
      <c r="L601" s="63"/>
      <c r="M601" s="63"/>
      <c r="N601" s="63"/>
      <c r="O601" s="63"/>
      <c r="P601" s="63"/>
    </row>
    <row r="602" spans="3:16" hidden="1" x14ac:dyDescent="0.15">
      <c r="C602" s="63"/>
      <c r="D602" s="63"/>
      <c r="E602" s="63"/>
      <c r="F602" s="63">
        <v>240</v>
      </c>
      <c r="G602" s="63">
        <v>75</v>
      </c>
      <c r="H602" s="10"/>
      <c r="I602" s="63"/>
      <c r="J602" s="77"/>
      <c r="K602" s="63"/>
      <c r="L602" s="63"/>
      <c r="M602" s="63"/>
      <c r="N602" s="63"/>
      <c r="O602" s="63"/>
      <c r="P602" s="63"/>
    </row>
    <row r="603" spans="3:16" hidden="1" x14ac:dyDescent="0.15">
      <c r="C603" s="63"/>
      <c r="D603" s="63"/>
      <c r="E603" s="63"/>
      <c r="F603" s="63">
        <v>270</v>
      </c>
      <c r="G603" s="63">
        <v>90</v>
      </c>
      <c r="H603" s="10"/>
      <c r="I603" s="63"/>
      <c r="J603" s="63">
        <v>1</v>
      </c>
      <c r="K603" s="63">
        <v>2</v>
      </c>
      <c r="L603" s="63">
        <v>3</v>
      </c>
      <c r="M603" s="63"/>
      <c r="N603" s="63"/>
      <c r="O603" s="63"/>
      <c r="P603" s="63"/>
    </row>
    <row r="604" spans="3:16" hidden="1" x14ac:dyDescent="0.15">
      <c r="C604" s="63"/>
      <c r="D604" s="63"/>
      <c r="E604" s="63"/>
      <c r="F604" s="63">
        <v>300</v>
      </c>
      <c r="G604" s="63">
        <v>105</v>
      </c>
      <c r="H604" s="10"/>
      <c r="I604" s="80">
        <v>1</v>
      </c>
      <c r="J604" s="81"/>
      <c r="K604" s="81">
        <v>300</v>
      </c>
      <c r="L604" s="81"/>
      <c r="M604" s="81"/>
      <c r="N604" s="63"/>
      <c r="O604" s="63"/>
      <c r="P604" s="63"/>
    </row>
    <row r="605" spans="3:16" hidden="1" x14ac:dyDescent="0.15">
      <c r="C605" s="63"/>
      <c r="D605" s="63"/>
      <c r="E605" s="63"/>
      <c r="F605" s="63">
        <v>330</v>
      </c>
      <c r="G605" s="63">
        <v>120</v>
      </c>
      <c r="H605" s="10"/>
      <c r="I605" s="80">
        <v>2</v>
      </c>
      <c r="J605" s="81">
        <v>200</v>
      </c>
      <c r="K605" s="81">
        <v>200</v>
      </c>
      <c r="L605" s="81">
        <v>150</v>
      </c>
      <c r="M605" s="81"/>
      <c r="N605" s="63"/>
      <c r="O605" s="63"/>
      <c r="P605" s="63"/>
    </row>
    <row r="606" spans="3:16" hidden="1" x14ac:dyDescent="0.15">
      <c r="C606" s="63"/>
      <c r="D606" s="63"/>
      <c r="E606" s="63"/>
      <c r="F606" s="63">
        <v>360</v>
      </c>
      <c r="G606" s="63">
        <v>135</v>
      </c>
      <c r="H606" s="10"/>
      <c r="I606" s="80">
        <v>3</v>
      </c>
      <c r="J606" s="81">
        <v>200</v>
      </c>
      <c r="K606" s="81">
        <v>200</v>
      </c>
      <c r="L606" s="81">
        <v>150</v>
      </c>
      <c r="M606" s="81"/>
      <c r="N606" s="63"/>
      <c r="O606" s="63"/>
      <c r="P606" s="63"/>
    </row>
    <row r="607" spans="3:16" hidden="1" x14ac:dyDescent="0.15">
      <c r="C607" s="63"/>
      <c r="D607" s="63"/>
      <c r="E607" s="63"/>
      <c r="F607" s="63">
        <v>390</v>
      </c>
      <c r="G607" s="63">
        <v>150</v>
      </c>
      <c r="H607" s="10"/>
      <c r="I607" s="80">
        <v>4</v>
      </c>
      <c r="J607" s="81">
        <v>200</v>
      </c>
      <c r="K607" s="81">
        <v>200</v>
      </c>
      <c r="L607" s="81">
        <v>150</v>
      </c>
      <c r="M607" s="81"/>
      <c r="N607" s="63"/>
      <c r="O607" s="63"/>
      <c r="P607" s="63"/>
    </row>
    <row r="608" spans="3:16" hidden="1" x14ac:dyDescent="0.15">
      <c r="C608" s="63"/>
      <c r="D608" s="63"/>
      <c r="E608" s="63"/>
      <c r="F608" s="63">
        <v>420</v>
      </c>
      <c r="G608" s="63">
        <v>180</v>
      </c>
      <c r="H608" s="10"/>
      <c r="I608" s="80">
        <v>5</v>
      </c>
      <c r="J608" s="81"/>
      <c r="K608" s="81">
        <v>300</v>
      </c>
      <c r="L608" s="81"/>
      <c r="M608" s="81"/>
      <c r="N608" s="63"/>
      <c r="O608" s="63"/>
      <c r="P608" s="63"/>
    </row>
    <row r="609" spans="3:16" hidden="1" x14ac:dyDescent="0.15">
      <c r="C609" s="63"/>
      <c r="D609" s="63"/>
      <c r="E609" s="63"/>
      <c r="F609" s="63">
        <v>450</v>
      </c>
      <c r="G609" s="63">
        <v>210</v>
      </c>
      <c r="H609" s="10"/>
      <c r="I609" s="80">
        <v>6</v>
      </c>
      <c r="J609" s="81">
        <v>200</v>
      </c>
      <c r="K609" s="81">
        <v>200</v>
      </c>
      <c r="L609" s="81">
        <v>150</v>
      </c>
      <c r="M609" s="81"/>
      <c r="N609" s="63"/>
      <c r="O609" s="63"/>
      <c r="P609" s="63"/>
    </row>
    <row r="610" spans="3:16" hidden="1" x14ac:dyDescent="0.15">
      <c r="C610" s="63"/>
      <c r="D610" s="63"/>
      <c r="E610" s="63"/>
      <c r="F610" s="63">
        <f t="shared" ref="F610:F615" si="61">+F609+30</f>
        <v>480</v>
      </c>
      <c r="G610" s="63">
        <v>240</v>
      </c>
      <c r="H610" s="10"/>
      <c r="I610" s="80">
        <v>7</v>
      </c>
      <c r="J610" s="81">
        <v>200</v>
      </c>
      <c r="K610" s="81">
        <v>200</v>
      </c>
      <c r="L610" s="81">
        <v>150</v>
      </c>
      <c r="M610" s="81"/>
      <c r="N610" s="63"/>
      <c r="O610" s="63"/>
      <c r="P610" s="63"/>
    </row>
    <row r="611" spans="3:16" hidden="1" x14ac:dyDescent="0.15">
      <c r="C611" s="63"/>
      <c r="D611" s="63"/>
      <c r="E611" s="63"/>
      <c r="F611" s="63">
        <f t="shared" si="61"/>
        <v>510</v>
      </c>
      <c r="H611" s="10"/>
      <c r="I611" s="80">
        <v>8</v>
      </c>
      <c r="J611" s="81">
        <v>300</v>
      </c>
      <c r="K611" s="81">
        <v>300</v>
      </c>
      <c r="L611" s="81">
        <v>225</v>
      </c>
      <c r="M611" s="81"/>
      <c r="N611" s="63"/>
      <c r="O611" s="63"/>
      <c r="P611" s="63"/>
    </row>
    <row r="612" spans="3:16" hidden="1" x14ac:dyDescent="0.15">
      <c r="C612" s="63"/>
      <c r="D612" s="63"/>
      <c r="E612" s="63"/>
      <c r="F612" s="63">
        <f t="shared" si="61"/>
        <v>540</v>
      </c>
      <c r="G612" s="63"/>
      <c r="H612" s="10"/>
      <c r="I612" s="80">
        <v>9</v>
      </c>
      <c r="J612" s="81">
        <v>300</v>
      </c>
      <c r="K612" s="81">
        <v>300</v>
      </c>
      <c r="L612" s="81">
        <v>225</v>
      </c>
      <c r="M612" s="81"/>
      <c r="N612" s="63"/>
      <c r="O612" s="63"/>
      <c r="P612" s="63"/>
    </row>
    <row r="613" spans="3:16" hidden="1" x14ac:dyDescent="0.15">
      <c r="C613" s="63"/>
      <c r="D613" s="63"/>
      <c r="E613" s="63"/>
      <c r="F613" s="63">
        <f t="shared" si="61"/>
        <v>570</v>
      </c>
      <c r="G613" s="63"/>
      <c r="H613" s="10"/>
      <c r="I613" s="63"/>
      <c r="J613" s="63"/>
      <c r="K613" s="63"/>
      <c r="L613" s="63"/>
      <c r="M613" s="63"/>
      <c r="N613" s="63"/>
      <c r="O613" s="63"/>
      <c r="P613" s="63"/>
    </row>
    <row r="614" spans="3:16" hidden="1" x14ac:dyDescent="0.15">
      <c r="C614" s="63"/>
      <c r="D614" s="63"/>
      <c r="E614" s="63"/>
      <c r="F614" s="63">
        <f t="shared" si="61"/>
        <v>600</v>
      </c>
      <c r="G614" s="63"/>
      <c r="H614" s="10"/>
      <c r="I614" s="63"/>
      <c r="J614" s="63"/>
      <c r="K614" s="63"/>
      <c r="L614" s="63"/>
      <c r="M614" s="63"/>
      <c r="N614" s="63"/>
      <c r="O614" s="63"/>
      <c r="P614" s="63"/>
    </row>
    <row r="615" spans="3:16" hidden="1" x14ac:dyDescent="0.15">
      <c r="C615" s="63"/>
      <c r="D615" s="63"/>
      <c r="E615" s="63"/>
      <c r="F615" s="63">
        <f t="shared" si="61"/>
        <v>630</v>
      </c>
      <c r="G615" s="63"/>
      <c r="H615" s="10"/>
      <c r="I615" s="63"/>
      <c r="J615" s="13">
        <v>1</v>
      </c>
      <c r="K615" s="63"/>
      <c r="L615" s="63"/>
      <c r="M615" s="63"/>
      <c r="N615" s="63"/>
      <c r="O615" s="63"/>
      <c r="P615" s="63"/>
    </row>
    <row r="616" spans="3:16" hidden="1" x14ac:dyDescent="0.15">
      <c r="C616" s="63"/>
      <c r="D616" s="63"/>
      <c r="E616" s="63"/>
      <c r="F616" s="63">
        <v>0</v>
      </c>
      <c r="G616" s="63"/>
      <c r="H616" s="10"/>
      <c r="I616" s="63"/>
      <c r="J616" s="63">
        <v>2</v>
      </c>
      <c r="K616" s="63"/>
      <c r="L616" s="63"/>
      <c r="M616" s="63"/>
      <c r="N616" s="63"/>
      <c r="O616" s="63"/>
      <c r="P616" s="63"/>
    </row>
    <row r="617" spans="3:16" hidden="1" x14ac:dyDescent="0.15">
      <c r="C617" s="63">
        <v>1</v>
      </c>
      <c r="D617" s="73" t="s">
        <v>245</v>
      </c>
      <c r="E617" s="73">
        <v>500</v>
      </c>
      <c r="F617" s="73">
        <f>+F616</f>
        <v>0</v>
      </c>
      <c r="G617" s="63"/>
      <c r="H617" s="10"/>
      <c r="I617" s="63"/>
      <c r="J617" s="83" t="s">
        <v>422</v>
      </c>
      <c r="K617" s="63"/>
      <c r="L617" s="63"/>
      <c r="M617" s="63"/>
      <c r="N617" s="63"/>
      <c r="O617" s="63"/>
      <c r="P617" s="63"/>
    </row>
    <row r="618" spans="3:16" hidden="1" x14ac:dyDescent="0.15">
      <c r="C618" s="63">
        <v>2</v>
      </c>
      <c r="D618" s="73" t="s">
        <v>247</v>
      </c>
      <c r="E618" s="73">
        <v>600</v>
      </c>
      <c r="F618" s="73">
        <f>+F616</f>
        <v>0</v>
      </c>
      <c r="G618" s="73">
        <f t="shared" ref="G618:G623" si="62">SUM(E617:F617)</f>
        <v>500</v>
      </c>
      <c r="H618" s="10"/>
      <c r="I618" s="63"/>
      <c r="J618" s="63" t="s">
        <v>215</v>
      </c>
      <c r="K618" s="63"/>
      <c r="L618" s="63"/>
      <c r="M618" s="63"/>
      <c r="N618" s="63"/>
      <c r="O618" s="63"/>
      <c r="P618" s="63"/>
    </row>
    <row r="619" spans="3:16" hidden="1" x14ac:dyDescent="0.15">
      <c r="C619" s="63">
        <v>3</v>
      </c>
      <c r="D619" s="73" t="s">
        <v>246</v>
      </c>
      <c r="E619" s="73">
        <v>500</v>
      </c>
      <c r="F619" s="73">
        <f>+F616</f>
        <v>0</v>
      </c>
      <c r="G619" s="73">
        <f t="shared" si="62"/>
        <v>600</v>
      </c>
      <c r="H619" s="10"/>
      <c r="I619" s="63"/>
      <c r="J619" s="63" t="s">
        <v>213</v>
      </c>
      <c r="K619" s="63"/>
      <c r="L619" s="63"/>
      <c r="M619" s="63"/>
      <c r="N619" s="63"/>
      <c r="O619" s="63"/>
      <c r="P619" s="63"/>
    </row>
    <row r="620" spans="3:16" hidden="1" x14ac:dyDescent="0.15">
      <c r="C620" s="63">
        <v>4</v>
      </c>
      <c r="D620" s="73" t="s">
        <v>248</v>
      </c>
      <c r="E620" s="73">
        <v>700</v>
      </c>
      <c r="F620" s="73">
        <f>+F616</f>
        <v>0</v>
      </c>
      <c r="G620" s="73">
        <f t="shared" si="62"/>
        <v>500</v>
      </c>
      <c r="H620" s="10"/>
      <c r="I620" s="63"/>
      <c r="J620" s="63" t="s">
        <v>214</v>
      </c>
      <c r="K620" s="63"/>
      <c r="L620" s="63"/>
      <c r="M620" s="63"/>
      <c r="N620" s="63"/>
      <c r="O620" s="63"/>
      <c r="P620" s="63"/>
    </row>
    <row r="621" spans="3:16" hidden="1" x14ac:dyDescent="0.15">
      <c r="C621" s="63">
        <v>5</v>
      </c>
      <c r="D621" s="73" t="s">
        <v>248</v>
      </c>
      <c r="E621" s="73">
        <v>700</v>
      </c>
      <c r="F621" s="73">
        <f>+F616</f>
        <v>0</v>
      </c>
      <c r="G621" s="73">
        <f t="shared" si="62"/>
        <v>700</v>
      </c>
      <c r="H621" s="10"/>
      <c r="I621" s="63"/>
      <c r="J621" s="63"/>
      <c r="K621" s="63"/>
      <c r="L621" s="63"/>
      <c r="M621" s="63"/>
      <c r="N621" s="63"/>
      <c r="O621" s="63"/>
      <c r="P621" s="63"/>
    </row>
    <row r="622" spans="3:16" hidden="1" x14ac:dyDescent="0.15">
      <c r="C622" s="63">
        <v>6</v>
      </c>
      <c r="D622" s="73" t="s">
        <v>248</v>
      </c>
      <c r="E622" s="73">
        <v>700</v>
      </c>
      <c r="F622" s="73">
        <f>+F616</f>
        <v>0</v>
      </c>
      <c r="G622" s="73">
        <f t="shared" si="62"/>
        <v>700</v>
      </c>
      <c r="H622" s="10"/>
      <c r="I622" s="63"/>
      <c r="J622" s="63"/>
      <c r="K622" s="63"/>
      <c r="L622" s="63"/>
      <c r="M622" s="63"/>
      <c r="N622" s="63"/>
      <c r="O622" s="63"/>
      <c r="P622" s="63"/>
    </row>
    <row r="623" spans="3:16" hidden="1" x14ac:dyDescent="0.15">
      <c r="C623" s="63"/>
      <c r="D623" s="63"/>
      <c r="E623" s="63"/>
      <c r="F623" s="63"/>
      <c r="G623" s="73">
        <f t="shared" si="62"/>
        <v>700</v>
      </c>
      <c r="H623" s="10"/>
      <c r="I623" s="63"/>
      <c r="J623" s="63"/>
      <c r="K623" s="63"/>
      <c r="L623" s="63"/>
      <c r="M623" s="63"/>
      <c r="N623" s="63"/>
      <c r="O623" s="63"/>
      <c r="P623" s="63"/>
    </row>
    <row r="624" spans="3:16" hidden="1" x14ac:dyDescent="0.15">
      <c r="C624" s="63"/>
      <c r="D624" s="63"/>
      <c r="E624" s="63"/>
      <c r="F624" s="63"/>
      <c r="G624" s="63"/>
      <c r="H624" s="10"/>
      <c r="I624" s="63"/>
      <c r="J624" s="63"/>
      <c r="K624" s="63"/>
      <c r="L624" s="63"/>
      <c r="M624" s="63"/>
      <c r="N624" s="63"/>
      <c r="O624" s="63"/>
      <c r="P624" s="63"/>
    </row>
    <row r="625" spans="3:16" hidden="1" x14ac:dyDescent="0.15">
      <c r="C625" s="63"/>
      <c r="D625" s="63">
        <v>1</v>
      </c>
      <c r="E625" s="63">
        <v>2</v>
      </c>
      <c r="F625" s="63">
        <v>3</v>
      </c>
      <c r="G625" s="63"/>
      <c r="H625" s="10"/>
      <c r="I625" s="63"/>
      <c r="J625" s="63"/>
      <c r="K625" s="63"/>
      <c r="L625" s="63"/>
      <c r="M625" s="63"/>
      <c r="N625" s="63"/>
      <c r="O625" s="63"/>
      <c r="P625" s="63"/>
    </row>
    <row r="626" spans="3:16" hidden="1" x14ac:dyDescent="0.15">
      <c r="C626" s="80">
        <v>1</v>
      </c>
      <c r="D626" s="81"/>
      <c r="E626" s="81">
        <v>300</v>
      </c>
      <c r="F626" s="81"/>
      <c r="G626" s="63"/>
      <c r="H626" s="10"/>
      <c r="I626" s="63"/>
      <c r="J626" s="63"/>
      <c r="K626" s="63"/>
      <c r="L626" s="63"/>
      <c r="M626" s="63"/>
      <c r="N626" s="63"/>
      <c r="O626" s="63"/>
      <c r="P626" s="63"/>
    </row>
    <row r="627" spans="3:16" hidden="1" x14ac:dyDescent="0.15">
      <c r="C627" s="80">
        <v>2</v>
      </c>
      <c r="D627" s="81">
        <v>200</v>
      </c>
      <c r="E627" s="81">
        <v>200</v>
      </c>
      <c r="F627" s="81">
        <v>150</v>
      </c>
      <c r="G627" s="63"/>
      <c r="H627" s="10"/>
      <c r="I627" s="63"/>
      <c r="J627" s="63"/>
      <c r="K627" s="63"/>
      <c r="L627" s="63"/>
      <c r="M627" s="63"/>
      <c r="N627" s="63"/>
      <c r="O627" s="63"/>
      <c r="P627" s="63"/>
    </row>
    <row r="628" spans="3:16" hidden="1" x14ac:dyDescent="0.15">
      <c r="C628" s="80">
        <v>3</v>
      </c>
      <c r="D628" s="81">
        <v>200</v>
      </c>
      <c r="E628" s="81">
        <v>200</v>
      </c>
      <c r="F628" s="81">
        <v>150</v>
      </c>
      <c r="G628" s="63"/>
      <c r="H628" s="10"/>
      <c r="I628" s="63"/>
      <c r="J628" s="63"/>
      <c r="K628" s="63"/>
      <c r="L628" s="63"/>
      <c r="M628" s="63"/>
      <c r="N628" s="63"/>
      <c r="O628" s="63"/>
      <c r="P628" s="63"/>
    </row>
    <row r="629" spans="3:16" hidden="1" x14ac:dyDescent="0.15">
      <c r="C629" s="80">
        <v>4</v>
      </c>
      <c r="D629" s="81">
        <v>200</v>
      </c>
      <c r="E629" s="81">
        <v>200</v>
      </c>
      <c r="F629" s="81">
        <v>150</v>
      </c>
      <c r="G629" s="63"/>
      <c r="H629" s="10"/>
      <c r="I629" s="63"/>
      <c r="J629" s="63"/>
      <c r="K629" s="63"/>
      <c r="L629" s="63"/>
      <c r="M629" s="63"/>
      <c r="N629" s="63"/>
      <c r="O629" s="63"/>
      <c r="P629" s="63"/>
    </row>
    <row r="630" spans="3:16" hidden="1" x14ac:dyDescent="0.15">
      <c r="C630" s="80">
        <v>5</v>
      </c>
      <c r="D630" s="81"/>
      <c r="E630" s="81">
        <v>300</v>
      </c>
      <c r="F630" s="81"/>
      <c r="G630" s="63"/>
      <c r="H630" s="10"/>
      <c r="I630" s="80" t="s">
        <v>110</v>
      </c>
      <c r="J630" s="80"/>
      <c r="K630" s="135" t="s">
        <v>159</v>
      </c>
      <c r="L630" s="63"/>
      <c r="M630" s="63"/>
      <c r="N630" s="63"/>
      <c r="O630" s="63"/>
      <c r="P630" s="63"/>
    </row>
    <row r="631" spans="3:16" hidden="1" x14ac:dyDescent="0.15">
      <c r="C631" s="80">
        <v>6</v>
      </c>
      <c r="D631" s="81">
        <v>400</v>
      </c>
      <c r="E631" s="81">
        <v>400</v>
      </c>
      <c r="F631" s="81">
        <v>200</v>
      </c>
      <c r="G631" s="63"/>
      <c r="H631" s="10"/>
      <c r="I631" s="80" t="s">
        <v>112</v>
      </c>
      <c r="J631" s="80"/>
      <c r="K631" s="135" t="s">
        <v>160</v>
      </c>
      <c r="L631" s="63"/>
      <c r="M631" s="63"/>
      <c r="N631" s="63"/>
      <c r="O631" s="63"/>
      <c r="P631" s="63"/>
    </row>
    <row r="632" spans="3:16" hidden="1" x14ac:dyDescent="0.15">
      <c r="C632" s="80">
        <v>7</v>
      </c>
      <c r="D632" s="81">
        <v>200</v>
      </c>
      <c r="E632" s="81">
        <v>200</v>
      </c>
      <c r="F632" s="81">
        <v>150</v>
      </c>
      <c r="G632" s="63"/>
      <c r="H632" s="10"/>
      <c r="I632" s="80" t="s">
        <v>114</v>
      </c>
      <c r="J632" s="80"/>
      <c r="K632" s="63"/>
      <c r="L632" s="63"/>
      <c r="M632" s="63"/>
      <c r="N632" s="63"/>
      <c r="O632" s="63"/>
      <c r="P632" s="63"/>
    </row>
    <row r="633" spans="3:16" hidden="1" x14ac:dyDescent="0.15">
      <c r="C633" s="80">
        <v>8</v>
      </c>
      <c r="D633" s="81">
        <v>300</v>
      </c>
      <c r="E633" s="81">
        <v>300</v>
      </c>
      <c r="F633" s="81">
        <v>225</v>
      </c>
      <c r="G633" s="63"/>
      <c r="H633" s="10"/>
      <c r="I633" s="80" t="s">
        <v>116</v>
      </c>
      <c r="J633" s="80"/>
      <c r="K633" s="63"/>
      <c r="L633" s="63"/>
      <c r="M633" s="63"/>
      <c r="N633" s="63"/>
      <c r="O633" s="63"/>
      <c r="P633" s="63"/>
    </row>
    <row r="634" spans="3:16" hidden="1" x14ac:dyDescent="0.15">
      <c r="C634" s="80">
        <v>9</v>
      </c>
      <c r="D634" s="81">
        <v>300</v>
      </c>
      <c r="E634" s="81">
        <v>300</v>
      </c>
      <c r="F634" s="81">
        <v>225</v>
      </c>
      <c r="G634" s="63"/>
      <c r="H634" s="10"/>
      <c r="I634" s="80" t="s">
        <v>117</v>
      </c>
      <c r="J634" s="80"/>
      <c r="K634" s="63"/>
      <c r="L634" s="63"/>
      <c r="M634" s="63"/>
      <c r="N634" s="63"/>
      <c r="O634" s="63"/>
      <c r="P634" s="63"/>
    </row>
    <row r="635" spans="3:16" hidden="1" x14ac:dyDescent="0.15">
      <c r="C635" s="63"/>
      <c r="D635" s="63"/>
      <c r="E635" s="63"/>
      <c r="F635" s="63"/>
      <c r="G635" s="63"/>
      <c r="H635" s="10"/>
      <c r="I635" s="80" t="s">
        <v>118</v>
      </c>
      <c r="J635" s="80"/>
      <c r="K635" s="63"/>
      <c r="L635" s="63"/>
      <c r="M635" s="63"/>
      <c r="N635" s="63"/>
      <c r="O635" s="63"/>
      <c r="P635" s="63"/>
    </row>
    <row r="636" spans="3:16" hidden="1" x14ac:dyDescent="0.15">
      <c r="C636" s="63"/>
      <c r="D636" s="63"/>
      <c r="E636" s="63"/>
      <c r="F636" s="63"/>
      <c r="G636" s="63"/>
      <c r="H636" s="10"/>
      <c r="I636" s="80" t="s">
        <v>119</v>
      </c>
      <c r="J636" s="80"/>
      <c r="K636" s="63"/>
      <c r="L636" s="63"/>
      <c r="M636" s="63"/>
      <c r="N636" s="63"/>
      <c r="O636" s="63"/>
      <c r="P636" s="63"/>
    </row>
    <row r="637" spans="3:16" hidden="1" x14ac:dyDescent="0.15">
      <c r="C637" s="63"/>
      <c r="D637" s="13">
        <v>1</v>
      </c>
      <c r="E637" s="63"/>
      <c r="F637" s="63"/>
      <c r="G637" s="63"/>
      <c r="H637" s="10"/>
      <c r="I637" s="80" t="s">
        <v>120</v>
      </c>
      <c r="J637" s="80"/>
      <c r="K637" s="63"/>
      <c r="L637" s="63"/>
      <c r="M637" s="63"/>
      <c r="N637" s="63"/>
      <c r="O637" s="63"/>
      <c r="P637" s="63"/>
    </row>
    <row r="638" spans="3:16" hidden="1" x14ac:dyDescent="0.15">
      <c r="C638" s="63"/>
      <c r="D638" s="63">
        <v>2</v>
      </c>
      <c r="E638" s="63"/>
      <c r="F638" s="63"/>
      <c r="G638" s="63"/>
      <c r="H638" s="10"/>
      <c r="I638" s="80" t="s">
        <v>121</v>
      </c>
      <c r="J638" s="80"/>
      <c r="K638" s="63"/>
      <c r="L638" s="63"/>
      <c r="M638" s="63"/>
      <c r="N638" s="63"/>
      <c r="O638" s="63"/>
      <c r="P638" s="63"/>
    </row>
    <row r="639" spans="3:16" hidden="1" x14ac:dyDescent="0.15">
      <c r="C639" s="63"/>
      <c r="D639" s="63" t="s">
        <v>215</v>
      </c>
      <c r="E639" s="63"/>
      <c r="F639" s="63"/>
      <c r="G639" s="63"/>
      <c r="H639" s="10"/>
      <c r="I639" s="80" t="s">
        <v>122</v>
      </c>
      <c r="J639" s="80"/>
      <c r="K639" s="63"/>
      <c r="L639" s="63"/>
      <c r="M639" s="63"/>
      <c r="N639" s="63"/>
      <c r="O639" s="63"/>
      <c r="P639" s="63"/>
    </row>
    <row r="640" spans="3:16" hidden="1" x14ac:dyDescent="0.15">
      <c r="C640" s="63"/>
      <c r="D640" s="63" t="s">
        <v>213</v>
      </c>
      <c r="E640" s="63"/>
      <c r="F640" s="63"/>
      <c r="G640" s="63"/>
      <c r="H640" s="10"/>
      <c r="I640" s="80" t="s">
        <v>123</v>
      </c>
      <c r="J640" s="80"/>
      <c r="K640" s="63"/>
      <c r="L640" s="63"/>
      <c r="M640" s="63"/>
      <c r="N640" s="63"/>
      <c r="O640" s="63"/>
      <c r="P640" s="63"/>
    </row>
    <row r="641" spans="3:16" hidden="1" x14ac:dyDescent="0.15">
      <c r="C641" s="63"/>
      <c r="D641" s="63" t="s">
        <v>214</v>
      </c>
      <c r="E641" s="63"/>
      <c r="F641" s="63"/>
      <c r="G641" s="63"/>
      <c r="H641" s="10"/>
      <c r="I641" s="80" t="s">
        <v>124</v>
      </c>
      <c r="J641" s="80"/>
      <c r="K641" s="63"/>
      <c r="L641" s="63"/>
      <c r="M641" s="63"/>
      <c r="N641" s="63"/>
      <c r="O641" s="63"/>
      <c r="P641" s="63"/>
    </row>
    <row r="642" spans="3:16" hidden="1" x14ac:dyDescent="0.15">
      <c r="C642" s="63"/>
      <c r="D642" s="63"/>
      <c r="E642" s="63"/>
      <c r="F642" s="63"/>
      <c r="G642" s="63"/>
      <c r="H642" s="10"/>
      <c r="I642" s="80" t="s">
        <v>125</v>
      </c>
      <c r="J642" s="80"/>
      <c r="K642" s="63"/>
      <c r="L642" s="63"/>
      <c r="M642" s="63"/>
      <c r="N642" s="63"/>
      <c r="O642" s="63"/>
      <c r="P642" s="63"/>
    </row>
    <row r="643" spans="3:16" hidden="1" x14ac:dyDescent="0.15">
      <c r="C643" s="63"/>
      <c r="E643" s="63"/>
      <c r="F643" s="63"/>
      <c r="G643" s="63"/>
      <c r="H643" s="10"/>
      <c r="I643" s="80" t="s">
        <v>126</v>
      </c>
      <c r="J643" s="80"/>
      <c r="K643" s="63"/>
      <c r="L643" s="63"/>
      <c r="M643" s="63"/>
      <c r="N643" s="63"/>
      <c r="O643" s="63"/>
      <c r="P643" s="63"/>
    </row>
    <row r="644" spans="3:16" hidden="1" x14ac:dyDescent="0.15">
      <c r="C644" s="63"/>
      <c r="D644" s="3" t="s">
        <v>956</v>
      </c>
      <c r="E644" s="63"/>
      <c r="F644" s="63"/>
      <c r="G644" s="63"/>
      <c r="H644" s="10"/>
      <c r="I644" s="80" t="s">
        <v>127</v>
      </c>
      <c r="J644" s="80"/>
      <c r="K644" s="63"/>
      <c r="L644" s="63"/>
      <c r="M644" s="63"/>
      <c r="N644" s="63"/>
      <c r="O644" s="63"/>
      <c r="P644" s="63"/>
    </row>
    <row r="645" spans="3:16" hidden="1" x14ac:dyDescent="0.15">
      <c r="C645" s="63"/>
      <c r="D645" s="3" t="s">
        <v>957</v>
      </c>
      <c r="E645" s="63"/>
      <c r="F645" s="63"/>
      <c r="G645" s="63"/>
      <c r="H645" s="10"/>
      <c r="I645" s="80" t="s">
        <v>128</v>
      </c>
      <c r="J645" s="80"/>
      <c r="K645" s="63"/>
      <c r="L645" s="63"/>
      <c r="M645" s="63"/>
      <c r="N645" s="63"/>
      <c r="O645" s="63"/>
      <c r="P645" s="63"/>
    </row>
    <row r="646" spans="3:16" hidden="1" x14ac:dyDescent="0.15">
      <c r="C646" s="63"/>
      <c r="D646" s="63"/>
      <c r="E646" s="63"/>
      <c r="F646" s="63"/>
      <c r="G646" s="63"/>
      <c r="H646" s="10"/>
      <c r="I646" s="80" t="s">
        <v>129</v>
      </c>
      <c r="J646" s="80"/>
      <c r="K646" s="63"/>
      <c r="L646" s="63"/>
      <c r="M646" s="63"/>
      <c r="N646" s="63"/>
      <c r="O646" s="63"/>
      <c r="P646" s="63"/>
    </row>
    <row r="647" spans="3:16" hidden="1" x14ac:dyDescent="0.15">
      <c r="C647" s="63"/>
      <c r="D647" s="63"/>
      <c r="E647" s="63"/>
      <c r="F647" s="63"/>
      <c r="G647" s="63"/>
      <c r="H647" s="10"/>
      <c r="I647" s="80" t="s">
        <v>130</v>
      </c>
      <c r="J647" s="80"/>
      <c r="K647" s="63"/>
      <c r="L647" s="63"/>
      <c r="M647" s="63"/>
      <c r="N647" s="63"/>
      <c r="O647" s="63"/>
      <c r="P647" s="63"/>
    </row>
    <row r="648" spans="3:16" hidden="1" x14ac:dyDescent="0.15">
      <c r="C648" s="63"/>
      <c r="D648" s="63"/>
      <c r="E648" s="63"/>
      <c r="F648" s="63"/>
      <c r="G648" s="63"/>
      <c r="H648" s="10"/>
      <c r="I648" s="80" t="s">
        <v>132</v>
      </c>
      <c r="J648" s="80"/>
      <c r="K648" s="63"/>
      <c r="L648" s="63"/>
      <c r="M648" s="63"/>
      <c r="N648" s="63"/>
      <c r="O648" s="63"/>
      <c r="P648" s="63"/>
    </row>
    <row r="649" spans="3:16" hidden="1" x14ac:dyDescent="0.15">
      <c r="C649" s="63"/>
      <c r="D649" s="63"/>
      <c r="E649" s="63"/>
      <c r="F649" s="63"/>
      <c r="G649" s="63"/>
      <c r="H649" s="10"/>
      <c r="I649" s="80" t="s">
        <v>133</v>
      </c>
      <c r="J649" s="80"/>
      <c r="K649" s="63"/>
      <c r="L649" s="63"/>
      <c r="M649" s="63"/>
      <c r="N649" s="63"/>
      <c r="O649" s="63"/>
      <c r="P649" s="63"/>
    </row>
    <row r="650" spans="3:16" hidden="1" x14ac:dyDescent="0.15">
      <c r="C650" s="63"/>
      <c r="D650" s="63"/>
      <c r="E650" s="63"/>
      <c r="F650" s="63"/>
      <c r="G650" s="63"/>
      <c r="H650" s="10"/>
      <c r="I650" s="80" t="s">
        <v>134</v>
      </c>
      <c r="J650" s="80"/>
      <c r="K650" s="63"/>
      <c r="L650" s="63"/>
      <c r="M650" s="63"/>
      <c r="N650" s="63"/>
      <c r="O650" s="63"/>
      <c r="P650" s="63"/>
    </row>
    <row r="651" spans="3:16" hidden="1" x14ac:dyDescent="0.15">
      <c r="C651" s="63"/>
      <c r="D651" s="63"/>
      <c r="E651" s="63"/>
      <c r="F651" s="63"/>
      <c r="G651" s="63"/>
      <c r="H651" s="10"/>
      <c r="I651" s="80" t="s">
        <v>135</v>
      </c>
      <c r="J651" s="80"/>
      <c r="K651" s="63"/>
      <c r="L651" s="63"/>
      <c r="M651" s="63"/>
      <c r="N651" s="63"/>
      <c r="O651" s="63"/>
      <c r="P651" s="63"/>
    </row>
    <row r="652" spans="3:16" hidden="1" x14ac:dyDescent="0.15">
      <c r="C652" s="63"/>
      <c r="D652" s="63"/>
      <c r="E652" s="63"/>
      <c r="F652" s="63"/>
      <c r="G652" s="63"/>
      <c r="H652" s="10"/>
      <c r="I652" s="80" t="s">
        <v>136</v>
      </c>
      <c r="J652" s="80"/>
      <c r="K652" s="63"/>
      <c r="L652" s="63"/>
      <c r="M652" s="63"/>
      <c r="N652" s="63"/>
      <c r="O652" s="63"/>
      <c r="P652" s="63"/>
    </row>
    <row r="653" spans="3:16" hidden="1" x14ac:dyDescent="0.15">
      <c r="C653" s="63"/>
      <c r="D653" s="63"/>
      <c r="E653" s="63"/>
      <c r="F653" s="63"/>
      <c r="G653" s="63"/>
      <c r="H653" s="10"/>
      <c r="I653" s="80" t="s">
        <v>137</v>
      </c>
      <c r="J653" s="80"/>
      <c r="K653" s="63"/>
      <c r="L653" s="63"/>
      <c r="M653" s="63"/>
      <c r="N653" s="63"/>
      <c r="O653" s="63"/>
      <c r="P653" s="63"/>
    </row>
    <row r="654" spans="3:16" hidden="1" x14ac:dyDescent="0.15">
      <c r="C654" s="63"/>
      <c r="D654" s="63"/>
      <c r="E654" s="63"/>
      <c r="F654" s="63"/>
      <c r="G654" s="63"/>
      <c r="H654" s="10"/>
      <c r="I654" s="80" t="s">
        <v>138</v>
      </c>
      <c r="J654" s="80"/>
      <c r="K654" s="63"/>
      <c r="L654" s="63"/>
      <c r="M654" s="63"/>
      <c r="N654" s="63"/>
      <c r="O654" s="63"/>
      <c r="P654" s="63"/>
    </row>
    <row r="655" spans="3:16" hidden="1" x14ac:dyDescent="0.15">
      <c r="C655" s="63"/>
      <c r="D655" s="63"/>
      <c r="E655" s="63"/>
      <c r="F655" s="63"/>
      <c r="G655" s="63"/>
      <c r="H655" s="10"/>
      <c r="I655" s="80" t="s">
        <v>139</v>
      </c>
      <c r="J655" s="80"/>
      <c r="K655" s="63"/>
      <c r="L655" s="63"/>
      <c r="M655" s="63"/>
      <c r="N655" s="63"/>
      <c r="O655" s="63"/>
      <c r="P655" s="63"/>
    </row>
    <row r="656" spans="3:16" hidden="1" x14ac:dyDescent="0.15">
      <c r="C656" s="63"/>
      <c r="D656" s="63"/>
      <c r="E656" s="63"/>
      <c r="F656" s="63"/>
      <c r="G656" s="63"/>
      <c r="H656" s="10"/>
      <c r="I656" s="80" t="s">
        <v>140</v>
      </c>
      <c r="J656" s="80"/>
      <c r="K656" s="63"/>
      <c r="L656" s="63"/>
      <c r="M656" s="63"/>
      <c r="N656" s="63"/>
      <c r="O656" s="63"/>
      <c r="P656" s="63"/>
    </row>
    <row r="657" spans="3:16" hidden="1" x14ac:dyDescent="0.15">
      <c r="C657" s="63"/>
      <c r="D657" s="63"/>
      <c r="E657" s="63"/>
      <c r="F657" s="63"/>
      <c r="G657" s="63"/>
      <c r="H657" s="10"/>
      <c r="I657" s="80" t="s">
        <v>141</v>
      </c>
      <c r="J657" s="80"/>
      <c r="K657" s="63"/>
      <c r="L657" s="63"/>
      <c r="M657" s="63"/>
      <c r="N657" s="63"/>
      <c r="O657" s="63"/>
      <c r="P657" s="63"/>
    </row>
    <row r="658" spans="3:16" hidden="1" x14ac:dyDescent="0.15">
      <c r="C658" s="63"/>
      <c r="D658" s="63"/>
      <c r="E658" s="63"/>
      <c r="F658" s="63"/>
      <c r="G658" s="63"/>
      <c r="H658" s="10"/>
      <c r="I658" s="80" t="s">
        <v>142</v>
      </c>
      <c r="J658" s="80"/>
      <c r="K658" s="63"/>
      <c r="L658" s="63"/>
      <c r="M658" s="63"/>
      <c r="N658" s="63"/>
      <c r="O658" s="63"/>
      <c r="P658" s="63"/>
    </row>
    <row r="659" spans="3:16" hidden="1" x14ac:dyDescent="0.15">
      <c r="C659" s="63"/>
      <c r="D659" s="63"/>
      <c r="E659" s="63"/>
      <c r="F659" s="63"/>
      <c r="G659" s="63"/>
      <c r="H659" s="10"/>
      <c r="I659" s="80" t="s">
        <v>143</v>
      </c>
      <c r="J659" s="80"/>
      <c r="K659" s="63"/>
      <c r="L659" s="63"/>
      <c r="M659" s="63"/>
      <c r="N659" s="63"/>
      <c r="O659" s="63"/>
      <c r="P659" s="63"/>
    </row>
    <row r="660" spans="3:16" hidden="1" x14ac:dyDescent="0.15">
      <c r="C660" s="63"/>
      <c r="D660" s="63"/>
      <c r="E660" s="63"/>
      <c r="F660" s="63"/>
      <c r="G660" s="63"/>
      <c r="H660" s="10"/>
      <c r="I660" s="80" t="s">
        <v>144</v>
      </c>
      <c r="J660" s="80"/>
      <c r="K660" s="63"/>
      <c r="L660" s="63"/>
      <c r="M660" s="63"/>
      <c r="N660" s="63"/>
      <c r="O660" s="63"/>
      <c r="P660" s="63"/>
    </row>
    <row r="661" spans="3:16" hidden="1" x14ac:dyDescent="0.15">
      <c r="C661" s="63"/>
      <c r="D661" s="63"/>
      <c r="E661" s="63"/>
      <c r="F661" s="63"/>
      <c r="G661" s="63"/>
      <c r="H661" s="10"/>
      <c r="I661" s="80" t="s">
        <v>145</v>
      </c>
      <c r="J661" s="80"/>
      <c r="K661" s="63"/>
      <c r="L661" s="63"/>
      <c r="M661" s="63"/>
      <c r="N661" s="63"/>
      <c r="O661" s="63"/>
      <c r="P661" s="63"/>
    </row>
    <row r="662" spans="3:16" hidden="1" x14ac:dyDescent="0.15">
      <c r="C662" s="63"/>
      <c r="D662" s="63"/>
      <c r="E662" s="63"/>
      <c r="F662" s="63"/>
      <c r="G662" s="63"/>
      <c r="H662" s="63"/>
      <c r="I662" s="80" t="s">
        <v>146</v>
      </c>
      <c r="J662" s="80"/>
      <c r="K662" s="63"/>
      <c r="L662" s="63"/>
      <c r="M662" s="63"/>
      <c r="N662" s="63"/>
      <c r="O662" s="63"/>
      <c r="P662" s="63"/>
    </row>
    <row r="663" spans="3:16" hidden="1" x14ac:dyDescent="0.15">
      <c r="C663" s="63"/>
      <c r="D663" s="63"/>
      <c r="E663" s="63"/>
      <c r="F663" s="63"/>
      <c r="G663" s="63"/>
      <c r="H663" s="63"/>
      <c r="I663" s="80" t="s">
        <v>147</v>
      </c>
      <c r="J663" s="80"/>
      <c r="K663" s="63"/>
      <c r="L663" s="63"/>
      <c r="M663" s="63"/>
      <c r="N663" s="63"/>
      <c r="O663" s="63"/>
      <c r="P663" s="63"/>
    </row>
    <row r="664" spans="3:16" hidden="1" x14ac:dyDescent="0.15">
      <c r="C664" s="63"/>
      <c r="D664" s="63"/>
      <c r="E664" s="63"/>
      <c r="F664" s="63"/>
      <c r="G664" s="63"/>
      <c r="H664" s="63"/>
      <c r="I664" s="80" t="s">
        <v>148</v>
      </c>
      <c r="J664" s="80"/>
      <c r="K664" s="63"/>
      <c r="L664" s="63"/>
      <c r="M664" s="63"/>
      <c r="N664" s="63"/>
      <c r="O664" s="63"/>
      <c r="P664" s="63"/>
    </row>
    <row r="665" spans="3:16" hidden="1" x14ac:dyDescent="0.15">
      <c r="C665" s="63"/>
      <c r="D665" s="63"/>
      <c r="E665" s="63"/>
      <c r="F665" s="63"/>
      <c r="G665" s="63"/>
      <c r="H665" s="63"/>
      <c r="I665" s="80" t="s">
        <v>149</v>
      </c>
      <c r="J665" s="73"/>
      <c r="K665" s="63"/>
      <c r="L665" s="63"/>
      <c r="M665" s="63"/>
      <c r="N665" s="63"/>
      <c r="O665" s="63"/>
      <c r="P665" s="63"/>
    </row>
    <row r="666" spans="3:16" hidden="1" x14ac:dyDescent="0.15">
      <c r="C666" s="63"/>
      <c r="D666" s="63"/>
      <c r="E666" s="63"/>
      <c r="F666" s="63"/>
      <c r="G666" s="63"/>
      <c r="H666" s="63"/>
      <c r="I666" s="80" t="s">
        <v>150</v>
      </c>
      <c r="J666" s="73"/>
      <c r="K666" s="63"/>
      <c r="L666" s="63"/>
      <c r="M666" s="63"/>
      <c r="N666" s="63"/>
      <c r="O666" s="63"/>
      <c r="P666" s="63"/>
    </row>
    <row r="667" spans="3:16" hidden="1" x14ac:dyDescent="0.15">
      <c r="C667" s="63"/>
      <c r="D667" s="63"/>
      <c r="E667" s="63"/>
      <c r="F667" s="63"/>
      <c r="G667" s="63"/>
      <c r="H667" s="63"/>
      <c r="I667" s="80" t="s">
        <v>151</v>
      </c>
      <c r="J667" s="73"/>
      <c r="K667" s="63"/>
      <c r="L667" s="63"/>
      <c r="M667" s="63"/>
      <c r="N667" s="63"/>
      <c r="O667" s="63"/>
      <c r="P667" s="63"/>
    </row>
    <row r="668" spans="3:16" hidden="1" x14ac:dyDescent="0.15">
      <c r="C668" s="63"/>
      <c r="D668" s="63"/>
      <c r="E668" s="63"/>
      <c r="F668" s="63"/>
      <c r="G668" s="63"/>
      <c r="H668" s="63"/>
      <c r="I668" s="80" t="s">
        <v>152</v>
      </c>
      <c r="J668" s="73"/>
      <c r="K668" s="63"/>
      <c r="L668" s="63"/>
      <c r="M668" s="63"/>
      <c r="N668" s="63"/>
      <c r="O668" s="63"/>
      <c r="P668" s="63"/>
    </row>
    <row r="669" spans="3:16" hidden="1" x14ac:dyDescent="0.15">
      <c r="C669" s="63"/>
      <c r="D669" s="63"/>
      <c r="E669" s="63"/>
      <c r="F669" s="63"/>
      <c r="G669" s="63"/>
      <c r="H669" s="63"/>
      <c r="I669" s="80" t="s">
        <v>153</v>
      </c>
      <c r="J669" s="73"/>
      <c r="K669" s="63"/>
      <c r="L669" s="63"/>
      <c r="M669" s="63"/>
      <c r="N669" s="63"/>
      <c r="O669" s="63"/>
      <c r="P669" s="63"/>
    </row>
    <row r="670" spans="3:16" hidden="1" x14ac:dyDescent="0.15">
      <c r="C670" s="63"/>
      <c r="D670" s="63"/>
      <c r="E670" s="63"/>
      <c r="F670" s="63"/>
      <c r="G670" s="63"/>
      <c r="H670" s="63"/>
      <c r="I670" s="80" t="s">
        <v>154</v>
      </c>
      <c r="J670" s="73"/>
      <c r="K670" s="63"/>
      <c r="L670" s="63"/>
      <c r="M670" s="63"/>
      <c r="N670" s="63"/>
      <c r="O670" s="63"/>
      <c r="P670" s="63"/>
    </row>
    <row r="671" spans="3:16" hidden="1" x14ac:dyDescent="0.15">
      <c r="C671" s="63"/>
      <c r="D671" s="63"/>
      <c r="E671" s="63"/>
      <c r="F671" s="63"/>
      <c r="G671" s="63"/>
      <c r="H671" s="63"/>
      <c r="I671" s="80" t="s">
        <v>155</v>
      </c>
      <c r="J671" s="73"/>
      <c r="K671" s="63"/>
      <c r="L671" s="63"/>
      <c r="M671" s="63"/>
      <c r="N671" s="63"/>
      <c r="O671" s="63"/>
      <c r="P671" s="63"/>
    </row>
    <row r="672" spans="3:16" hidden="1" x14ac:dyDescent="0.15">
      <c r="C672" s="63"/>
      <c r="D672" s="63"/>
      <c r="E672" s="63"/>
      <c r="F672" s="63"/>
      <c r="G672" s="63"/>
      <c r="H672" s="63"/>
      <c r="I672" s="80" t="s">
        <v>64</v>
      </c>
      <c r="J672" s="73"/>
      <c r="K672" s="63"/>
      <c r="L672" s="63"/>
      <c r="M672" s="63"/>
      <c r="N672" s="63"/>
      <c r="O672" s="63"/>
      <c r="P672" s="63"/>
    </row>
    <row r="673" spans="3:16" hidden="1" x14ac:dyDescent="0.15">
      <c r="C673" s="63"/>
      <c r="D673" s="63"/>
      <c r="E673" s="63"/>
      <c r="F673" s="63"/>
      <c r="G673" s="63"/>
      <c r="H673" s="63"/>
      <c r="I673" s="80" t="s">
        <v>156</v>
      </c>
      <c r="J673" s="73"/>
      <c r="K673" s="63"/>
      <c r="L673" s="63"/>
      <c r="M673" s="63"/>
      <c r="N673" s="63"/>
      <c r="O673" s="63"/>
      <c r="P673" s="63"/>
    </row>
    <row r="674" spans="3:16" hidden="1" x14ac:dyDescent="0.15">
      <c r="G674" s="63"/>
      <c r="H674" s="63"/>
      <c r="I674" s="80" t="s">
        <v>157</v>
      </c>
      <c r="J674" s="73"/>
      <c r="K674" s="63"/>
      <c r="L674" s="63"/>
      <c r="M674" s="63"/>
      <c r="N674" s="63"/>
      <c r="O674" s="63"/>
      <c r="P674" s="63"/>
    </row>
  </sheetData>
  <sheetProtection password="CC2B" sheet="1" objects="1" scenarios="1"/>
  <mergeCells count="436">
    <mergeCell ref="DM73:DM74"/>
    <mergeCell ref="DM81:DM82"/>
    <mergeCell ref="DM89:DM90"/>
    <mergeCell ref="CY15:CY16"/>
    <mergeCell ref="O17:O18"/>
    <mergeCell ref="Q13:Q14"/>
    <mergeCell ref="D13:D14"/>
    <mergeCell ref="D55:D56"/>
    <mergeCell ref="B88:B95"/>
    <mergeCell ref="B15:B20"/>
    <mergeCell ref="B21:B26"/>
    <mergeCell ref="B27:B32"/>
    <mergeCell ref="B33:B38"/>
    <mergeCell ref="B39:B44"/>
    <mergeCell ref="B57:B63"/>
    <mergeCell ref="B64:B71"/>
    <mergeCell ref="B72:B79"/>
    <mergeCell ref="B80:B87"/>
    <mergeCell ref="B52:E54"/>
    <mergeCell ref="C92:C94"/>
    <mergeCell ref="D92:E94"/>
    <mergeCell ref="C76:C78"/>
    <mergeCell ref="D76:E78"/>
    <mergeCell ref="C71:D71"/>
    <mergeCell ref="E57:E59"/>
    <mergeCell ref="C64:D64"/>
    <mergeCell ref="C63:D63"/>
    <mergeCell ref="C39:C40"/>
    <mergeCell ref="F92:G92"/>
    <mergeCell ref="H92:H93"/>
    <mergeCell ref="F73:F75"/>
    <mergeCell ref="C21:C22"/>
    <mergeCell ref="E21:E22"/>
    <mergeCell ref="E39:E40"/>
    <mergeCell ref="C41:C43"/>
    <mergeCell ref="D41:E43"/>
    <mergeCell ref="H41:H43"/>
    <mergeCell ref="C44:D44"/>
    <mergeCell ref="C57:C59"/>
    <mergeCell ref="F53:G54"/>
    <mergeCell ref="F49:G49"/>
    <mergeCell ref="H54:I54"/>
    <mergeCell ref="C60:C62"/>
    <mergeCell ref="D60:E62"/>
    <mergeCell ref="I60:I62"/>
    <mergeCell ref="I92:I94"/>
    <mergeCell ref="I41:J41"/>
    <mergeCell ref="H52:I52"/>
    <mergeCell ref="J92:M92"/>
    <mergeCell ref="C87:D87"/>
    <mergeCell ref="C89:C91"/>
    <mergeCell ref="E89:E91"/>
    <mergeCell ref="F89:F91"/>
    <mergeCell ref="L89:L90"/>
    <mergeCell ref="C88:D88"/>
    <mergeCell ref="F76:G76"/>
    <mergeCell ref="H76:H77"/>
    <mergeCell ref="I76:I78"/>
    <mergeCell ref="J76:M76"/>
    <mergeCell ref="C79:D79"/>
    <mergeCell ref="C81:C83"/>
    <mergeCell ref="E81:E83"/>
    <mergeCell ref="F81:F83"/>
    <mergeCell ref="L81:L82"/>
    <mergeCell ref="C80:D80"/>
    <mergeCell ref="C95:D95"/>
    <mergeCell ref="C27:C28"/>
    <mergeCell ref="E27:E28"/>
    <mergeCell ref="F27:F28"/>
    <mergeCell ref="K27:K28"/>
    <mergeCell ref="C29:C31"/>
    <mergeCell ref="D29:E31"/>
    <mergeCell ref="F29:G29"/>
    <mergeCell ref="H29:H31"/>
    <mergeCell ref="I29:J29"/>
    <mergeCell ref="C32:D32"/>
    <mergeCell ref="C33:C34"/>
    <mergeCell ref="E33:E34"/>
    <mergeCell ref="F33:F34"/>
    <mergeCell ref="K33:K34"/>
    <mergeCell ref="C35:C37"/>
    <mergeCell ref="D35:E37"/>
    <mergeCell ref="F35:G35"/>
    <mergeCell ref="C84:C86"/>
    <mergeCell ref="D84:E86"/>
    <mergeCell ref="F84:G84"/>
    <mergeCell ref="H84:H85"/>
    <mergeCell ref="I84:I86"/>
    <mergeCell ref="J84:M84"/>
    <mergeCell ref="L73:L74"/>
    <mergeCell ref="M73:M74"/>
    <mergeCell ref="C65:C67"/>
    <mergeCell ref="E65:E67"/>
    <mergeCell ref="F65:F67"/>
    <mergeCell ref="L65:L66"/>
    <mergeCell ref="C68:C70"/>
    <mergeCell ref="D68:E70"/>
    <mergeCell ref="F68:G68"/>
    <mergeCell ref="H68:H69"/>
    <mergeCell ref="I68:I70"/>
    <mergeCell ref="J68:M68"/>
    <mergeCell ref="C72:D72"/>
    <mergeCell ref="M65:M66"/>
    <mergeCell ref="C73:C75"/>
    <mergeCell ref="E73:E75"/>
    <mergeCell ref="J10:K10"/>
    <mergeCell ref="H12:I12"/>
    <mergeCell ref="L13:N13"/>
    <mergeCell ref="AE13:AF13"/>
    <mergeCell ref="P13:P14"/>
    <mergeCell ref="R13:T13"/>
    <mergeCell ref="L11:M11"/>
    <mergeCell ref="G14:H14"/>
    <mergeCell ref="AC11:AI12"/>
    <mergeCell ref="AC13:AD13"/>
    <mergeCell ref="G13:J13"/>
    <mergeCell ref="V11:V14"/>
    <mergeCell ref="W11:Y12"/>
    <mergeCell ref="Z11:AB12"/>
    <mergeCell ref="B13:C13"/>
    <mergeCell ref="E13:F13"/>
    <mergeCell ref="I14:J14"/>
    <mergeCell ref="Q11:U12"/>
    <mergeCell ref="U13:U14"/>
    <mergeCell ref="N11:N12"/>
    <mergeCell ref="O11:P12"/>
    <mergeCell ref="J11:K11"/>
    <mergeCell ref="J12:K12"/>
    <mergeCell ref="C17:C19"/>
    <mergeCell ref="D17:E19"/>
    <mergeCell ref="F21:F22"/>
    <mergeCell ref="C20:D20"/>
    <mergeCell ref="Z15:Z16"/>
    <mergeCell ref="AA15:AA16"/>
    <mergeCell ref="W21:W22"/>
    <mergeCell ref="X21:X22"/>
    <mergeCell ref="E15:E16"/>
    <mergeCell ref="F15:F16"/>
    <mergeCell ref="C15:C16"/>
    <mergeCell ref="H17:H19"/>
    <mergeCell ref="F17:G17"/>
    <mergeCell ref="Q15:Q16"/>
    <mergeCell ref="Q21:Q22"/>
    <mergeCell ref="M21:M22"/>
    <mergeCell ref="L26:M26"/>
    <mergeCell ref="L24:M24"/>
    <mergeCell ref="Y15:Y16"/>
    <mergeCell ref="AB15:AB16"/>
    <mergeCell ref="K13:K14"/>
    <mergeCell ref="L21:L22"/>
    <mergeCell ref="L27:L28"/>
    <mergeCell ref="L33:L34"/>
    <mergeCell ref="I17:J17"/>
    <mergeCell ref="L20:M20"/>
    <mergeCell ref="N15:N16"/>
    <mergeCell ref="O15:O16"/>
    <mergeCell ref="N21:N22"/>
    <mergeCell ref="O21:O22"/>
    <mergeCell ref="N27:N28"/>
    <mergeCell ref="O27:O28"/>
    <mergeCell ref="K15:K16"/>
    <mergeCell ref="K21:K22"/>
    <mergeCell ref="I23:J23"/>
    <mergeCell ref="M33:M34"/>
    <mergeCell ref="M27:M28"/>
    <mergeCell ref="AH15:AH16"/>
    <mergeCell ref="T57:T58"/>
    <mergeCell ref="R57:R58"/>
    <mergeCell ref="U57:U58"/>
    <mergeCell ref="V57:V58"/>
    <mergeCell ref="Q57:Q58"/>
    <mergeCell ref="P15:P16"/>
    <mergeCell ref="P21:P22"/>
    <mergeCell ref="P27:P28"/>
    <mergeCell ref="P33:P34"/>
    <mergeCell ref="P39:P40"/>
    <mergeCell ref="R17:X17"/>
    <mergeCell ref="P18:Q18"/>
    <mergeCell ref="P19:Q19"/>
    <mergeCell ref="V33:V34"/>
    <mergeCell ref="AB21:AB22"/>
    <mergeCell ref="AB27:AB28"/>
    <mergeCell ref="AB33:AB34"/>
    <mergeCell ref="AB39:AB40"/>
    <mergeCell ref="AG21:AG22"/>
    <mergeCell ref="AG27:AG28"/>
    <mergeCell ref="AG33:AG34"/>
    <mergeCell ref="AG39:AG40"/>
    <mergeCell ref="R29:X29"/>
    <mergeCell ref="AI15:AI16"/>
    <mergeCell ref="R23:X23"/>
    <mergeCell ref="P24:Q24"/>
    <mergeCell ref="P25:Q25"/>
    <mergeCell ref="AH21:AH22"/>
    <mergeCell ref="P30:Q30"/>
    <mergeCell ref="P31:Q31"/>
    <mergeCell ref="U21:U22"/>
    <mergeCell ref="U27:U28"/>
    <mergeCell ref="Y21:Y22"/>
    <mergeCell ref="AH27:AH28"/>
    <mergeCell ref="T21:T22"/>
    <mergeCell ref="T27:T28"/>
    <mergeCell ref="Z21:Z22"/>
    <mergeCell ref="AA21:AA22"/>
    <mergeCell ref="Z27:Z28"/>
    <mergeCell ref="AA27:AA28"/>
    <mergeCell ref="R15:R16"/>
    <mergeCell ref="S15:S16"/>
    <mergeCell ref="T15:T16"/>
    <mergeCell ref="U15:U16"/>
    <mergeCell ref="AG15:AG16"/>
    <mergeCell ref="AI21:AI22"/>
    <mergeCell ref="AI27:AI28"/>
    <mergeCell ref="S81:S82"/>
    <mergeCell ref="T81:T82"/>
    <mergeCell ref="T89:T90"/>
    <mergeCell ref="Q68:R68"/>
    <mergeCell ref="S59:Y59"/>
    <mergeCell ref="Q60:R60"/>
    <mergeCell ref="Q61:R61"/>
    <mergeCell ref="S67:Y67"/>
    <mergeCell ref="U65:U66"/>
    <mergeCell ref="V65:V66"/>
    <mergeCell ref="Q65:Q66"/>
    <mergeCell ref="Q73:Q74"/>
    <mergeCell ref="Q77:R77"/>
    <mergeCell ref="S83:Y83"/>
    <mergeCell ref="Q84:R84"/>
    <mergeCell ref="Q85:R85"/>
    <mergeCell ref="Q81:Q82"/>
    <mergeCell ref="Q89:Q90"/>
    <mergeCell ref="W73:W74"/>
    <mergeCell ref="W81:W82"/>
    <mergeCell ref="W89:W90"/>
    <mergeCell ref="X81:X82"/>
    <mergeCell ref="Y81:Y82"/>
    <mergeCell ref="X89:X90"/>
    <mergeCell ref="Q93:R93"/>
    <mergeCell ref="R21:R22"/>
    <mergeCell ref="S21:S22"/>
    <mergeCell ref="R27:R28"/>
    <mergeCell ref="S27:S28"/>
    <mergeCell ref="R33:R34"/>
    <mergeCell ref="S33:S34"/>
    <mergeCell ref="R39:R40"/>
    <mergeCell ref="S39:S40"/>
    <mergeCell ref="R65:R66"/>
    <mergeCell ref="R73:R74"/>
    <mergeCell ref="R81:R82"/>
    <mergeCell ref="R89:R90"/>
    <mergeCell ref="S57:S58"/>
    <mergeCell ref="R35:X35"/>
    <mergeCell ref="P36:Q36"/>
    <mergeCell ref="P37:Q37"/>
    <mergeCell ref="U39:U40"/>
    <mergeCell ref="Q55:Q56"/>
    <mergeCell ref="V55:V56"/>
    <mergeCell ref="Q92:R92"/>
    <mergeCell ref="Q69:R69"/>
    <mergeCell ref="S75:Y75"/>
    <mergeCell ref="Q76:R76"/>
    <mergeCell ref="S91:Y91"/>
    <mergeCell ref="U73:U74"/>
    <mergeCell ref="V73:V74"/>
    <mergeCell ref="U81:U82"/>
    <mergeCell ref="V81:V82"/>
    <mergeCell ref="V89:V90"/>
    <mergeCell ref="U89:U90"/>
    <mergeCell ref="S89:S90"/>
    <mergeCell ref="AH33:AH34"/>
    <mergeCell ref="AH39:AH40"/>
    <mergeCell ref="AC57:AC58"/>
    <mergeCell ref="Z65:Z66"/>
    <mergeCell ref="Z73:Z74"/>
    <mergeCell ref="Z81:Z82"/>
    <mergeCell ref="Z89:Z90"/>
    <mergeCell ref="AC89:AC90"/>
    <mergeCell ref="AC81:AC82"/>
    <mergeCell ref="AC73:AC74"/>
    <mergeCell ref="AC65:AC66"/>
    <mergeCell ref="AH57:AH58"/>
    <mergeCell ref="R41:X41"/>
    <mergeCell ref="Z33:Z34"/>
    <mergeCell ref="AA33:AA34"/>
    <mergeCell ref="Z39:Z40"/>
    <mergeCell ref="AH81:AH82"/>
    <mergeCell ref="AH89:AH90"/>
    <mergeCell ref="AI65:AI66"/>
    <mergeCell ref="AI73:AI74"/>
    <mergeCell ref="AI81:AI82"/>
    <mergeCell ref="AI89:AI90"/>
    <mergeCell ref="AJ65:AJ66"/>
    <mergeCell ref="AJ73:AJ74"/>
    <mergeCell ref="AJ81:AJ82"/>
    <mergeCell ref="AJ89:AJ90"/>
    <mergeCell ref="AJ57:AJ58"/>
    <mergeCell ref="AH65:AH66"/>
    <mergeCell ref="AH73:AH74"/>
    <mergeCell ref="AI33:AI34"/>
    <mergeCell ref="AI39:AI40"/>
    <mergeCell ref="Q33:Q34"/>
    <mergeCell ref="Q39:Q40"/>
    <mergeCell ref="Y33:Y34"/>
    <mergeCell ref="Y39:Y40"/>
    <mergeCell ref="S65:S66"/>
    <mergeCell ref="S73:S74"/>
    <mergeCell ref="T73:T74"/>
    <mergeCell ref="X73:X74"/>
    <mergeCell ref="Y73:Y74"/>
    <mergeCell ref="U33:U34"/>
    <mergeCell ref="T33:T34"/>
    <mergeCell ref="F39:F40"/>
    <mergeCell ref="F41:G41"/>
    <mergeCell ref="B10:E12"/>
    <mergeCell ref="F11:G12"/>
    <mergeCell ref="H11:I11"/>
    <mergeCell ref="F57:F59"/>
    <mergeCell ref="H60:H61"/>
    <mergeCell ref="B55:C55"/>
    <mergeCell ref="E55:F55"/>
    <mergeCell ref="F23:G23"/>
    <mergeCell ref="H35:H37"/>
    <mergeCell ref="H23:H25"/>
    <mergeCell ref="C23:C25"/>
    <mergeCell ref="D23:E25"/>
    <mergeCell ref="C26:D26"/>
    <mergeCell ref="C38:D38"/>
    <mergeCell ref="H10:I10"/>
    <mergeCell ref="I35:J35"/>
    <mergeCell ref="F60:G60"/>
    <mergeCell ref="G55:H55"/>
    <mergeCell ref="J60:M60"/>
    <mergeCell ref="I55:K55"/>
    <mergeCell ref="J52:K52"/>
    <mergeCell ref="K39:K40"/>
    <mergeCell ref="AJ11:AK14"/>
    <mergeCell ref="AG13:AG14"/>
    <mergeCell ref="AH13:AH14"/>
    <mergeCell ref="AI13:AI14"/>
    <mergeCell ref="J54:K54"/>
    <mergeCell ref="H53:I53"/>
    <mergeCell ref="J53:K53"/>
    <mergeCell ref="N53:O54"/>
    <mergeCell ref="P53:Q54"/>
    <mergeCell ref="R53:V54"/>
    <mergeCell ref="W53:W56"/>
    <mergeCell ref="X53:Z54"/>
    <mergeCell ref="AA53:AC54"/>
    <mergeCell ref="AD53:AJ54"/>
    <mergeCell ref="AH55:AH56"/>
    <mergeCell ref="AI55:AI56"/>
    <mergeCell ref="AJ55:AJ56"/>
    <mergeCell ref="AK53:AL56"/>
    <mergeCell ref="L15:L16"/>
    <mergeCell ref="M15:M16"/>
    <mergeCell ref="V15:V16"/>
    <mergeCell ref="V21:V22"/>
    <mergeCell ref="W15:W16"/>
    <mergeCell ref="X15:X16"/>
    <mergeCell ref="L38:M38"/>
    <mergeCell ref="L30:M30"/>
    <mergeCell ref="L32:M32"/>
    <mergeCell ref="L36:M36"/>
    <mergeCell ref="T39:T40"/>
    <mergeCell ref="X39:X40"/>
    <mergeCell ref="N33:N34"/>
    <mergeCell ref="O33:O34"/>
    <mergeCell ref="Q27:Q28"/>
    <mergeCell ref="N65:N66"/>
    <mergeCell ref="O65:O66"/>
    <mergeCell ref="P65:P66"/>
    <mergeCell ref="W57:W58"/>
    <mergeCell ref="W65:W66"/>
    <mergeCell ref="M39:M40"/>
    <mergeCell ref="V39:V40"/>
    <mergeCell ref="N39:N40"/>
    <mergeCell ref="O39:O40"/>
    <mergeCell ref="L53:M53"/>
    <mergeCell ref="L57:L58"/>
    <mergeCell ref="T65:T66"/>
    <mergeCell ref="M55:O55"/>
    <mergeCell ref="S55:U55"/>
    <mergeCell ref="L39:L40"/>
    <mergeCell ref="W39:W40"/>
    <mergeCell ref="M57:M58"/>
    <mergeCell ref="N57:N58"/>
    <mergeCell ref="O57:O58"/>
    <mergeCell ref="P57:P58"/>
    <mergeCell ref="P42:Q42"/>
    <mergeCell ref="P43:Q43"/>
    <mergeCell ref="L42:M42"/>
    <mergeCell ref="L44:M44"/>
    <mergeCell ref="O73:O74"/>
    <mergeCell ref="P73:P74"/>
    <mergeCell ref="M81:M82"/>
    <mergeCell ref="N81:N82"/>
    <mergeCell ref="O81:O82"/>
    <mergeCell ref="P81:P82"/>
    <mergeCell ref="M89:M90"/>
    <mergeCell ref="N89:N90"/>
    <mergeCell ref="O89:O90"/>
    <mergeCell ref="P89:P90"/>
    <mergeCell ref="N73:N74"/>
    <mergeCell ref="Y89:Y90"/>
    <mergeCell ref="AA65:AA66"/>
    <mergeCell ref="AB65:AB66"/>
    <mergeCell ref="AA73:AA74"/>
    <mergeCell ref="AB73:AB74"/>
    <mergeCell ref="AA81:AA82"/>
    <mergeCell ref="AB81:AB82"/>
    <mergeCell ref="AA89:AA90"/>
    <mergeCell ref="AB89:AB90"/>
    <mergeCell ref="CY21:CY22"/>
    <mergeCell ref="CY27:CY28"/>
    <mergeCell ref="CY33:CY34"/>
    <mergeCell ref="CY39:CY40"/>
    <mergeCell ref="R55:R56"/>
    <mergeCell ref="DM57:DM58"/>
    <mergeCell ref="AB57:AB58"/>
    <mergeCell ref="X65:X66"/>
    <mergeCell ref="Y65:Y66"/>
    <mergeCell ref="Z57:Z58"/>
    <mergeCell ref="W27:W28"/>
    <mergeCell ref="X27:X28"/>
    <mergeCell ref="V27:V28"/>
    <mergeCell ref="W33:W34"/>
    <mergeCell ref="X33:X34"/>
    <mergeCell ref="DM65:DM66"/>
    <mergeCell ref="Y27:Y28"/>
    <mergeCell ref="AA39:AA40"/>
    <mergeCell ref="X57:X58"/>
    <mergeCell ref="Y57:Y58"/>
    <mergeCell ref="AA57:AA58"/>
    <mergeCell ref="AF55:AG55"/>
    <mergeCell ref="AD55:AE55"/>
    <mergeCell ref="AI57:AI58"/>
  </mergeCells>
  <phoneticPr fontId="3"/>
  <dataValidations count="6">
    <dataValidation type="list" allowBlank="1" showInputMessage="1" showErrorMessage="1" sqref="G95 G87 G38 G32 G26 G63 G79 G71 G44 G20" xr:uid="{00000000-0002-0000-0900-000000000000}">
      <formula1>$N$593:$N$599</formula1>
    </dataValidation>
    <dataValidation type="list" allowBlank="1" showInputMessage="1" showErrorMessage="1" sqref="L57:L58 L89:L90 K27:K28 K33:K34 K21:K22 L65:L66 K15:K16 K39:K40 L73:L74 L81:L82" xr:uid="{00000000-0002-0000-0900-000001000000}">
      <formula1>$H$568:$H$585</formula1>
    </dataValidation>
    <dataValidation type="list" allowBlank="1" showInputMessage="1" showErrorMessage="1" sqref="W57 W89 V33 V39 V27 W65 V21 W73 W81 V15" xr:uid="{00000000-0002-0000-0900-000002000000}">
      <formula1>$J$597:$J$600</formula1>
    </dataValidation>
    <dataValidation type="list" allowBlank="1" showInputMessage="1" showErrorMessage="1" sqref="E20 E87 E79 E44 E63 E95 E38 E32 E71 E26" xr:uid="{00000000-0002-0000-0900-000003000000}">
      <formula1>$J$589:$J$591</formula1>
    </dataValidation>
    <dataValidation type="list" allowBlank="1" showInputMessage="1" showErrorMessage="1" sqref="Q33:Q34 R89:R90 R73:R74 R81:R82 R65:R66 Q15:Q16 P19:Q19 Q21:Q22 Q27:Q28 Q39:Q40 R57:R58" xr:uid="{00000000-0002-0000-0900-000004000000}">
      <formula1>$L$196:$L$199</formula1>
    </dataValidation>
    <dataValidation type="list" allowBlank="1" showInputMessage="1" showErrorMessage="1" sqref="L15:L16 L21:L22 L27:L28 L33:L34 L39:L40 M57:M58 M65:M66 M73:M74 M81:M82 M89:M90" xr:uid="{00000000-0002-0000-0900-000005000000}">
      <formula1>$F$587:$F$604</formula1>
    </dataValidation>
  </dataValidations>
  <pageMargins left="0.7" right="0.7" top="0.75" bottom="0.75" header="0.3" footer="0.3"/>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DM675"/>
  <sheetViews>
    <sheetView showGridLines="0" showRowColHeaders="0" showZeros="0" zoomScaleNormal="100" workbookViewId="0">
      <selection activeCell="E15" sqref="E15:E16"/>
    </sheetView>
  </sheetViews>
  <sheetFormatPr defaultRowHeight="14.25" x14ac:dyDescent="0.15"/>
  <cols>
    <col min="1" max="1" width="2.25" style="3" customWidth="1"/>
    <col min="2" max="3" width="3.625" style="3" customWidth="1"/>
    <col min="4" max="5" width="4.625" style="3" customWidth="1"/>
    <col min="6" max="7" width="7.625" style="3" customWidth="1"/>
    <col min="8" max="13" width="8.625" style="3" customWidth="1"/>
    <col min="14" max="16" width="7.625" style="3" customWidth="1"/>
    <col min="17" max="17" width="8.75" style="3" customWidth="1"/>
    <col min="18" max="18" width="9" style="3" customWidth="1"/>
    <col min="19" max="35" width="7.625" style="3" customWidth="1"/>
    <col min="36" max="36" width="4" style="3" customWidth="1"/>
    <col min="37" max="37" width="4.375" style="3" customWidth="1"/>
    <col min="38" max="38" width="5" style="3" customWidth="1"/>
    <col min="39" max="40" width="5" style="3" hidden="1" customWidth="1"/>
    <col min="41" max="43" width="9" style="3" hidden="1" customWidth="1"/>
    <col min="44" max="44" width="9.875" style="3" hidden="1" customWidth="1"/>
    <col min="45" max="46" width="9.5" style="3" hidden="1" customWidth="1"/>
    <col min="47" max="60" width="9" style="3" hidden="1" customWidth="1"/>
    <col min="61" max="61" width="9.5" style="3" hidden="1" customWidth="1"/>
    <col min="62" max="63" width="9" style="3" hidden="1" customWidth="1"/>
    <col min="64" max="64" width="9.5" style="3" hidden="1" customWidth="1"/>
    <col min="65" max="66" width="9" style="3" hidden="1" customWidth="1"/>
    <col min="67" max="68" width="10.5" style="3" hidden="1" customWidth="1"/>
    <col min="69" max="79" width="9" style="3" hidden="1" customWidth="1"/>
    <col min="80" max="80" width="10.25" style="3" hidden="1" customWidth="1"/>
    <col min="81" max="90" width="9" style="3" hidden="1" customWidth="1"/>
    <col min="91" max="92" width="9.5" style="3" hidden="1" customWidth="1"/>
    <col min="93" max="117" width="9" style="3" hidden="1" customWidth="1"/>
    <col min="118" max="16384" width="9" style="3"/>
  </cols>
  <sheetData>
    <row r="1" spans="2:103" x14ac:dyDescent="0.15">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row>
    <row r="2" spans="2:103" x14ac:dyDescent="0.15">
      <c r="B2" s="607"/>
      <c r="C2" s="194"/>
      <c r="D2" s="194"/>
      <c r="E2" s="194"/>
      <c r="F2" s="608"/>
      <c r="G2" s="609"/>
      <c r="H2" s="482"/>
      <c r="I2" s="609"/>
      <c r="J2" s="610" t="s">
        <v>979</v>
      </c>
      <c r="K2" s="611"/>
      <c r="L2" s="612"/>
      <c r="M2" s="613"/>
      <c r="N2" s="480"/>
      <c r="O2" s="194"/>
      <c r="P2" s="610" t="s">
        <v>969</v>
      </c>
      <c r="Q2" s="611"/>
      <c r="R2" s="612"/>
      <c r="S2" s="613"/>
      <c r="T2" s="480"/>
      <c r="U2" s="194"/>
      <c r="V2" s="194"/>
      <c r="W2" s="194"/>
      <c r="X2" s="194"/>
      <c r="Y2" s="194"/>
      <c r="Z2" s="194"/>
      <c r="AA2" s="194"/>
      <c r="AB2" s="194"/>
      <c r="AC2" s="194"/>
      <c r="AD2" s="194"/>
      <c r="AE2" s="194"/>
      <c r="AF2" s="194"/>
      <c r="AG2" s="194"/>
      <c r="AH2" s="194"/>
      <c r="AI2" s="194"/>
      <c r="AJ2" s="194"/>
      <c r="AK2" s="194"/>
      <c r="AL2" s="194"/>
    </row>
    <row r="3" spans="2:103" x14ac:dyDescent="0.15">
      <c r="B3" s="194"/>
      <c r="C3" s="194"/>
      <c r="D3" s="194"/>
      <c r="E3" s="194"/>
      <c r="F3" s="608" t="s">
        <v>867</v>
      </c>
      <c r="G3" s="608"/>
      <c r="H3" s="490"/>
      <c r="I3" s="608"/>
      <c r="J3" s="490"/>
      <c r="K3" s="515" t="s">
        <v>865</v>
      </c>
      <c r="L3" s="515" t="s">
        <v>866</v>
      </c>
      <c r="M3" s="614"/>
      <c r="N3" s="608"/>
      <c r="O3" s="194"/>
      <c r="P3" s="490"/>
      <c r="Q3" s="515"/>
      <c r="R3" s="515" t="s">
        <v>866</v>
      </c>
      <c r="S3" s="614"/>
      <c r="T3" s="608" t="s">
        <v>976</v>
      </c>
      <c r="U3" s="194"/>
      <c r="V3" s="194"/>
      <c r="W3" s="194"/>
      <c r="X3" s="788"/>
      <c r="Y3" s="194"/>
      <c r="Z3" s="787"/>
      <c r="AA3" s="194"/>
      <c r="AB3" s="194"/>
      <c r="AC3" s="194"/>
      <c r="AD3" s="194"/>
      <c r="AE3" s="194"/>
      <c r="AF3" s="194"/>
      <c r="AG3" s="194"/>
      <c r="AH3" s="194"/>
      <c r="AI3" s="194"/>
      <c r="AJ3" s="194"/>
      <c r="AK3" s="194"/>
      <c r="AL3" s="194"/>
    </row>
    <row r="4" spans="2:103" x14ac:dyDescent="0.15">
      <c r="B4" s="194"/>
      <c r="C4" s="194"/>
      <c r="D4" s="194"/>
      <c r="E4" s="194"/>
      <c r="F4" s="194"/>
      <c r="G4" s="615"/>
      <c r="H4" s="616" t="s">
        <v>866</v>
      </c>
      <c r="I4" s="617"/>
      <c r="J4" s="618"/>
      <c r="K4" s="617"/>
      <c r="L4" s="619"/>
      <c r="M4" s="520"/>
      <c r="N4" s="620"/>
      <c r="O4" s="194"/>
      <c r="P4" s="618"/>
      <c r="Q4" s="617"/>
      <c r="R4" s="619"/>
      <c r="S4" s="520"/>
      <c r="T4" s="620"/>
      <c r="U4" s="194"/>
      <c r="V4" s="194"/>
      <c r="W4" s="788"/>
      <c r="X4" s="194"/>
      <c r="Y4" s="787"/>
      <c r="Z4" s="194"/>
      <c r="AA4" s="194"/>
      <c r="AB4" s="194"/>
      <c r="AC4" s="194"/>
      <c r="AD4" s="194"/>
      <c r="AE4" s="194"/>
      <c r="AF4" s="194"/>
      <c r="AG4" s="194"/>
      <c r="AH4" s="194"/>
      <c r="AI4" s="194"/>
      <c r="AJ4" s="194"/>
      <c r="AK4" s="194"/>
      <c r="AL4" s="194"/>
    </row>
    <row r="5" spans="2:103" x14ac:dyDescent="0.15">
      <c r="B5" s="194"/>
      <c r="C5" s="194"/>
      <c r="D5" s="194"/>
      <c r="E5" s="194"/>
      <c r="F5" s="608"/>
      <c r="G5" s="621"/>
      <c r="H5" s="621"/>
      <c r="I5" s="490" t="s">
        <v>868</v>
      </c>
      <c r="J5" s="608"/>
      <c r="K5" s="622"/>
      <c r="L5" s="515"/>
      <c r="M5" s="623"/>
      <c r="N5" s="624" t="s">
        <v>869</v>
      </c>
      <c r="O5" s="194"/>
      <c r="P5" s="608"/>
      <c r="Q5" s="622"/>
      <c r="R5" s="492" t="s">
        <v>486</v>
      </c>
      <c r="S5" s="623"/>
      <c r="T5" s="625" t="s">
        <v>977</v>
      </c>
      <c r="U5" s="194"/>
      <c r="V5" s="787"/>
      <c r="W5" s="194"/>
      <c r="X5" s="302"/>
      <c r="Y5" s="194"/>
      <c r="Z5" s="300" t="s">
        <v>1213</v>
      </c>
      <c r="AA5" s="194"/>
      <c r="AB5" s="194"/>
      <c r="AC5" s="194"/>
      <c r="AD5" s="194"/>
      <c r="AE5" s="194"/>
      <c r="AF5" s="194"/>
      <c r="AG5" s="194"/>
      <c r="AH5" s="194"/>
      <c r="AI5" s="194"/>
      <c r="AJ5" s="194"/>
      <c r="AK5" s="194"/>
      <c r="AL5" s="194"/>
      <c r="BL5" s="3" t="s">
        <v>1230</v>
      </c>
      <c r="BM5" s="3">
        <f>+BJ7*BJ8</f>
        <v>0</v>
      </c>
      <c r="BN5" s="3" t="s">
        <v>1234</v>
      </c>
    </row>
    <row r="6" spans="2:103" x14ac:dyDescent="0.15">
      <c r="B6" s="194"/>
      <c r="C6" s="194"/>
      <c r="D6" s="194"/>
      <c r="E6" s="194"/>
      <c r="F6" s="608"/>
      <c r="G6" s="615"/>
      <c r="H6" s="618"/>
      <c r="I6" s="617"/>
      <c r="J6" s="490"/>
      <c r="K6" s="626" t="s">
        <v>870</v>
      </c>
      <c r="L6" s="614"/>
      <c r="M6" s="625" t="s">
        <v>871</v>
      </c>
      <c r="N6" s="620"/>
      <c r="O6" s="194"/>
      <c r="P6" s="490"/>
      <c r="Q6" s="626" t="s">
        <v>973</v>
      </c>
      <c r="R6" s="614"/>
      <c r="S6" s="625" t="s">
        <v>974</v>
      </c>
      <c r="T6" s="620"/>
      <c r="U6" s="194"/>
      <c r="V6" s="789" t="s">
        <v>1215</v>
      </c>
      <c r="W6" s="787"/>
      <c r="X6" s="194"/>
      <c r="Y6" s="194"/>
      <c r="Z6" s="194"/>
      <c r="AA6" s="194"/>
      <c r="AB6" s="194"/>
      <c r="AC6" s="194"/>
      <c r="AD6" s="194"/>
      <c r="AE6" s="194"/>
      <c r="AF6" s="194"/>
      <c r="AG6" s="194"/>
      <c r="AH6" s="194"/>
      <c r="AI6" s="194"/>
      <c r="AJ6" s="194"/>
      <c r="AK6" s="194"/>
      <c r="AL6" s="194"/>
      <c r="BL6" s="3" t="s">
        <v>1231</v>
      </c>
      <c r="BM6" s="3">
        <f>+BA17-AY17</f>
        <v>0</v>
      </c>
      <c r="BN6" s="3">
        <f>+POWER(BM6,3)</f>
        <v>0</v>
      </c>
      <c r="BO6" s="3" t="s">
        <v>1235</v>
      </c>
    </row>
    <row r="7" spans="2:103" x14ac:dyDescent="0.15">
      <c r="B7" s="194"/>
      <c r="C7" s="194"/>
      <c r="D7" s="194"/>
      <c r="E7" s="194"/>
      <c r="F7" s="479" t="s">
        <v>865</v>
      </c>
      <c r="G7" s="627" t="s">
        <v>872</v>
      </c>
      <c r="H7" s="628" t="s">
        <v>873</v>
      </c>
      <c r="I7" s="617" t="s">
        <v>874</v>
      </c>
      <c r="J7" s="618"/>
      <c r="K7" s="617"/>
      <c r="L7" s="480" t="s">
        <v>875</v>
      </c>
      <c r="M7" s="629"/>
      <c r="N7" s="615" t="s">
        <v>874</v>
      </c>
      <c r="O7" s="194"/>
      <c r="P7" s="618"/>
      <c r="Q7" s="617"/>
      <c r="R7" s="480" t="s">
        <v>978</v>
      </c>
      <c r="S7" s="629"/>
      <c r="T7" s="615"/>
      <c r="U7" s="194"/>
      <c r="V7" s="790" t="s">
        <v>1214</v>
      </c>
      <c r="W7" s="789" t="s">
        <v>1216</v>
      </c>
      <c r="X7" s="787"/>
      <c r="Y7" s="194"/>
      <c r="Z7" s="194"/>
      <c r="AA7" s="194"/>
      <c r="AB7" s="194"/>
      <c r="AC7" s="194"/>
      <c r="AD7" s="194"/>
      <c r="AE7" s="194"/>
      <c r="AF7" s="194"/>
      <c r="AG7" s="194"/>
      <c r="AH7" s="194"/>
      <c r="AI7" s="194"/>
      <c r="AJ7" s="194"/>
      <c r="AK7" s="194"/>
      <c r="AL7" s="194"/>
      <c r="BI7" s="3" t="s">
        <v>1225</v>
      </c>
      <c r="BJ7" s="3">
        <f>+AR17</f>
        <v>0</v>
      </c>
      <c r="BL7" s="3" t="s">
        <v>1232</v>
      </c>
      <c r="BM7" s="3">
        <f>9*SQRT(3)</f>
        <v>15.588457268119894</v>
      </c>
      <c r="BO7" s="3" t="s">
        <v>1236</v>
      </c>
    </row>
    <row r="8" spans="2:103" ht="15" thickBot="1" x14ac:dyDescent="0.2">
      <c r="B8" s="194"/>
      <c r="C8" s="194"/>
      <c r="D8" s="194"/>
      <c r="E8" s="194"/>
      <c r="F8" s="608"/>
      <c r="G8" s="630"/>
      <c r="H8" s="631" t="s">
        <v>876</v>
      </c>
      <c r="I8" s="617"/>
      <c r="J8" s="618"/>
      <c r="K8" s="617"/>
      <c r="L8" s="515"/>
      <c r="M8" s="520"/>
      <c r="N8" s="482"/>
      <c r="O8" s="194"/>
      <c r="P8" s="618"/>
      <c r="Q8" s="617"/>
      <c r="R8" s="515"/>
      <c r="S8" s="520"/>
      <c r="T8" s="482"/>
      <c r="U8" s="194"/>
      <c r="V8" s="194"/>
      <c r="W8" s="194"/>
      <c r="X8" s="194"/>
      <c r="Y8" s="194"/>
      <c r="Z8" s="194"/>
      <c r="AA8" s="194"/>
      <c r="AB8" s="194"/>
      <c r="AC8" s="194"/>
      <c r="AD8" s="194"/>
      <c r="AE8" s="194"/>
      <c r="AF8" s="194"/>
      <c r="AG8" s="194"/>
      <c r="AH8" s="194"/>
      <c r="AI8" s="194"/>
      <c r="AJ8" s="194"/>
      <c r="AK8" s="194"/>
      <c r="AL8" s="194"/>
      <c r="AP8" s="9" t="s">
        <v>1188</v>
      </c>
      <c r="AQ8" s="23"/>
      <c r="AR8" s="23"/>
      <c r="BI8" s="3" t="s">
        <v>1227</v>
      </c>
      <c r="BJ8" s="640">
        <f>+AW17</f>
        <v>0</v>
      </c>
      <c r="BL8" s="3" t="s">
        <v>1233</v>
      </c>
      <c r="BM8" s="3" t="e">
        <f>+AS19*BJ11</f>
        <v>#VALUE!</v>
      </c>
      <c r="BV8" s="632">
        <f>+準備!G20</f>
        <v>450</v>
      </c>
      <c r="BW8" s="3">
        <v>3</v>
      </c>
      <c r="BX8" s="3">
        <f>+BV8*BW8</f>
        <v>1350</v>
      </c>
    </row>
    <row r="9" spans="2:103" ht="15" thickBot="1" x14ac:dyDescent="0.2">
      <c r="B9" s="633" t="s">
        <v>1077</v>
      </c>
      <c r="C9" s="634"/>
      <c r="D9" s="634"/>
      <c r="E9" s="635"/>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P9" s="3" t="s">
        <v>1189</v>
      </c>
      <c r="AQ9" s="9" t="s">
        <v>1190</v>
      </c>
      <c r="AR9" s="9" t="s">
        <v>1191</v>
      </c>
      <c r="BI9" s="3" t="s">
        <v>1226</v>
      </c>
      <c r="BJ9" s="3">
        <f>+AY17</f>
        <v>0</v>
      </c>
      <c r="BM9" s="3" t="e">
        <f>+BM5*SQRT(BN6)/(BM7*BM8)</f>
        <v>#VALUE!</v>
      </c>
      <c r="BO9" s="3" t="s">
        <v>1237</v>
      </c>
    </row>
    <row r="10" spans="2:103" ht="15" thickBot="1" x14ac:dyDescent="0.2">
      <c r="B10" s="1172" t="s">
        <v>192</v>
      </c>
      <c r="C10" s="1173"/>
      <c r="D10" s="1173"/>
      <c r="E10" s="1174"/>
      <c r="F10" s="735" t="s">
        <v>161</v>
      </c>
      <c r="G10" s="408" t="str">
        <f>+IF(VALUE(RIGHT(J10,4))&lt;=0.5,K631,K630)</f>
        <v>一般地域               2</v>
      </c>
      <c r="H10" s="1350" t="s">
        <v>771</v>
      </c>
      <c r="I10" s="1418"/>
      <c r="J10" s="1353">
        <f>+断面算定!P3</f>
        <v>0</v>
      </c>
      <c r="K10" s="1174"/>
      <c r="L10" s="169" t="s">
        <v>162</v>
      </c>
      <c r="M10" s="170">
        <f>+VALUE(RIGHT(J10,4))</f>
        <v>0</v>
      </c>
      <c r="N10" s="171" t="s">
        <v>475</v>
      </c>
      <c r="O10" s="172" t="s">
        <v>419</v>
      </c>
      <c r="P10" s="173"/>
      <c r="Q10" s="174"/>
      <c r="R10" s="194"/>
      <c r="S10" s="194"/>
      <c r="T10" s="194"/>
      <c r="U10" s="194"/>
      <c r="V10" s="194"/>
      <c r="W10" s="194"/>
      <c r="X10" s="194"/>
      <c r="Y10" s="194"/>
      <c r="Z10" s="194"/>
      <c r="AA10" s="194"/>
      <c r="AB10" s="225"/>
      <c r="AC10" s="225"/>
      <c r="AD10" s="225"/>
      <c r="AE10" s="225"/>
      <c r="AF10" s="225"/>
      <c r="AG10" s="225"/>
      <c r="AH10" s="225"/>
      <c r="AI10" s="225"/>
      <c r="AJ10" s="225"/>
      <c r="AK10" s="225"/>
      <c r="AL10" s="194"/>
      <c r="AP10" s="605">
        <f>+断面算定!CN4</f>
        <v>2</v>
      </c>
      <c r="AQ10" s="604">
        <f>+断面算定!CO4</f>
        <v>0.8</v>
      </c>
      <c r="AR10" s="606">
        <f>ROUND(AP10*AQ10,1)</f>
        <v>1.6</v>
      </c>
      <c r="AW10" s="3" t="e">
        <f>VLOOKUP(AU18,許容応力!B6:K22,7)</f>
        <v>#VALUE!</v>
      </c>
      <c r="AX10" s="3" t="e">
        <f>ROUND(AW10*1.1/3*100,0)</f>
        <v>#VALUE!</v>
      </c>
      <c r="BI10" s="3" t="s">
        <v>1228</v>
      </c>
      <c r="BJ10" s="829" t="e">
        <f>+AS19</f>
        <v>#VALUE!</v>
      </c>
    </row>
    <row r="11" spans="2:103" ht="15" customHeight="1" x14ac:dyDescent="0.15">
      <c r="B11" s="1235"/>
      <c r="C11" s="1382"/>
      <c r="D11" s="1382"/>
      <c r="E11" s="1236"/>
      <c r="F11" s="1172" t="s">
        <v>653</v>
      </c>
      <c r="G11" s="1174"/>
      <c r="H11" s="1419" t="s">
        <v>1210</v>
      </c>
      <c r="I11" s="1277"/>
      <c r="J11" s="1420"/>
      <c r="K11" s="1421"/>
      <c r="L11" s="1655" t="s">
        <v>207</v>
      </c>
      <c r="M11" s="1233"/>
      <c r="N11" s="785"/>
      <c r="O11" s="1227" t="s">
        <v>165</v>
      </c>
      <c r="P11" s="1250"/>
      <c r="Q11" s="1227" t="s">
        <v>243</v>
      </c>
      <c r="R11" s="1250"/>
      <c r="S11" s="1250"/>
      <c r="T11" s="1283"/>
      <c r="U11" s="1200" t="s">
        <v>423</v>
      </c>
      <c r="V11" s="1196" t="s">
        <v>241</v>
      </c>
      <c r="W11" s="1227" t="s">
        <v>199</v>
      </c>
      <c r="X11" s="1228"/>
      <c r="Y11" s="1229"/>
      <c r="Z11" s="1227" t="s">
        <v>200</v>
      </c>
      <c r="AA11" s="1228"/>
      <c r="AB11" s="1229"/>
      <c r="AC11" s="1249" t="s">
        <v>709</v>
      </c>
      <c r="AD11" s="1665"/>
      <c r="AE11" s="1665"/>
      <c r="AF11" s="1665"/>
      <c r="AG11" s="1665"/>
      <c r="AH11" s="1665"/>
      <c r="AI11" s="1666"/>
      <c r="AJ11" s="1259" t="s">
        <v>166</v>
      </c>
      <c r="AK11" s="1260"/>
      <c r="AL11" s="194"/>
      <c r="BI11" s="3" t="s">
        <v>1229</v>
      </c>
      <c r="BJ11" s="3">
        <v>364</v>
      </c>
    </row>
    <row r="12" spans="2:103" ht="15" customHeight="1" thickBot="1" x14ac:dyDescent="0.2">
      <c r="B12" s="1383"/>
      <c r="C12" s="1384"/>
      <c r="D12" s="1384"/>
      <c r="E12" s="1417"/>
      <c r="F12" s="1175"/>
      <c r="G12" s="1177"/>
      <c r="H12" s="1422">
        <f>+断面算定!H5</f>
        <v>0</v>
      </c>
      <c r="I12" s="1423"/>
      <c r="J12" s="1424"/>
      <c r="K12" s="1425"/>
      <c r="L12" s="781">
        <f>+断面算定!T3</f>
        <v>0</v>
      </c>
      <c r="M12" s="782" t="s">
        <v>208</v>
      </c>
      <c r="N12" s="786"/>
      <c r="O12" s="1251"/>
      <c r="P12" s="1252"/>
      <c r="Q12" s="1251"/>
      <c r="R12" s="1252"/>
      <c r="S12" s="1252"/>
      <c r="T12" s="1285"/>
      <c r="U12" s="1306"/>
      <c r="V12" s="1529"/>
      <c r="W12" s="1415"/>
      <c r="X12" s="1288"/>
      <c r="Y12" s="1289"/>
      <c r="Z12" s="1415"/>
      <c r="AA12" s="1288"/>
      <c r="AB12" s="1289"/>
      <c r="AC12" s="1251"/>
      <c r="AD12" s="1252"/>
      <c r="AE12" s="1252"/>
      <c r="AF12" s="1252"/>
      <c r="AG12" s="1252"/>
      <c r="AH12" s="1252"/>
      <c r="AI12" s="1524"/>
      <c r="AJ12" s="1261"/>
      <c r="AK12" s="1262"/>
      <c r="AL12" s="194"/>
    </row>
    <row r="13" spans="2:103" ht="15" customHeight="1" x14ac:dyDescent="0.15">
      <c r="B13" s="1189" t="s">
        <v>167</v>
      </c>
      <c r="C13" s="1190"/>
      <c r="D13" s="1200" t="s">
        <v>807</v>
      </c>
      <c r="E13" s="1192" t="s">
        <v>190</v>
      </c>
      <c r="F13" s="1192"/>
      <c r="G13" s="1197" t="s">
        <v>968</v>
      </c>
      <c r="H13" s="1393"/>
      <c r="I13" s="1393"/>
      <c r="J13" s="1394"/>
      <c r="K13" s="727" t="s">
        <v>15</v>
      </c>
      <c r="L13" s="1157" t="s">
        <v>783</v>
      </c>
      <c r="M13" s="1157"/>
      <c r="N13" s="1157"/>
      <c r="O13" s="727" t="s">
        <v>188</v>
      </c>
      <c r="P13" s="1292" t="s">
        <v>242</v>
      </c>
      <c r="Q13" s="1293" t="s">
        <v>1187</v>
      </c>
      <c r="R13" s="1277" t="s">
        <v>418</v>
      </c>
      <c r="S13" s="1710"/>
      <c r="T13" s="1419"/>
      <c r="U13" s="1306"/>
      <c r="V13" s="1529"/>
      <c r="W13" s="586" t="s">
        <v>188</v>
      </c>
      <c r="X13" s="586" t="s">
        <v>189</v>
      </c>
      <c r="Y13" s="586" t="s">
        <v>242</v>
      </c>
      <c r="Z13" s="586" t="s">
        <v>188</v>
      </c>
      <c r="AA13" s="586" t="s">
        <v>189</v>
      </c>
      <c r="AB13" s="586" t="s">
        <v>242</v>
      </c>
      <c r="AC13" s="1237">
        <v>1</v>
      </c>
      <c r="AD13" s="1238"/>
      <c r="AE13" s="1237">
        <v>2</v>
      </c>
      <c r="AF13" s="1238"/>
      <c r="AG13" s="1679" t="s">
        <v>486</v>
      </c>
      <c r="AH13" s="1265" t="s">
        <v>710</v>
      </c>
      <c r="AI13" s="1242" t="s">
        <v>165</v>
      </c>
      <c r="AJ13" s="1261"/>
      <c r="AK13" s="1262"/>
      <c r="AL13" s="194"/>
      <c r="BJ13" s="3" t="e">
        <f>+$AR$17*POWER(364,3)/(48*$AS$19)+$BY$19+$CO$18</f>
        <v>#VALUE!</v>
      </c>
      <c r="BN13" s="3" t="e">
        <f>+$AS$17*POWER(364,3)/(48*$AS$19)+$BY$19+$CO$18</f>
        <v>#VALUE!</v>
      </c>
    </row>
    <row r="14" spans="2:103" ht="15" thickBot="1" x14ac:dyDescent="0.2">
      <c r="B14" s="1426" t="s">
        <v>1073</v>
      </c>
      <c r="C14" s="570" t="s">
        <v>809</v>
      </c>
      <c r="D14" s="1392"/>
      <c r="E14" s="417" t="s">
        <v>184</v>
      </c>
      <c r="F14" s="418" t="s">
        <v>191</v>
      </c>
      <c r="G14" s="1215" t="s">
        <v>964</v>
      </c>
      <c r="H14" s="1427"/>
      <c r="I14" s="1215" t="s">
        <v>967</v>
      </c>
      <c r="J14" s="1427"/>
      <c r="K14" s="728"/>
      <c r="L14" s="459" t="s">
        <v>781</v>
      </c>
      <c r="M14" s="459" t="s">
        <v>163</v>
      </c>
      <c r="N14" s="459" t="s">
        <v>782</v>
      </c>
      <c r="O14" s="728" t="s">
        <v>189</v>
      </c>
      <c r="P14" s="1266"/>
      <c r="Q14" s="1291"/>
      <c r="R14" s="567" t="s">
        <v>480</v>
      </c>
      <c r="S14" s="567" t="s">
        <v>481</v>
      </c>
      <c r="T14" s="567" t="s">
        <v>482</v>
      </c>
      <c r="U14" s="728" t="s">
        <v>1069</v>
      </c>
      <c r="V14" s="1530"/>
      <c r="W14" s="179" t="s">
        <v>194</v>
      </c>
      <c r="X14" s="179" t="s">
        <v>195</v>
      </c>
      <c r="Y14" s="179" t="s">
        <v>485</v>
      </c>
      <c r="Z14" s="179" t="s">
        <v>194</v>
      </c>
      <c r="AA14" s="179" t="s">
        <v>195</v>
      </c>
      <c r="AB14" s="179" t="s">
        <v>485</v>
      </c>
      <c r="AC14" s="581" t="s">
        <v>756</v>
      </c>
      <c r="AD14" s="581" t="s">
        <v>757</v>
      </c>
      <c r="AE14" s="581" t="s">
        <v>758</v>
      </c>
      <c r="AF14" s="581" t="s">
        <v>759</v>
      </c>
      <c r="AG14" s="1266"/>
      <c r="AH14" s="1266"/>
      <c r="AI14" s="1667"/>
      <c r="AJ14" s="1263"/>
      <c r="AK14" s="1264"/>
      <c r="AL14" s="194"/>
      <c r="BB14" s="3" t="s">
        <v>998</v>
      </c>
      <c r="BC14" s="3" t="s">
        <v>995</v>
      </c>
      <c r="BF14" s="3" t="s">
        <v>996</v>
      </c>
      <c r="BI14" s="3" t="s">
        <v>995</v>
      </c>
      <c r="BL14" s="3" t="s">
        <v>996</v>
      </c>
      <c r="BO14" s="9" t="s">
        <v>244</v>
      </c>
      <c r="BP14" s="9" t="s">
        <v>1000</v>
      </c>
      <c r="BQ14" s="23"/>
      <c r="BR14" s="9" t="s">
        <v>242</v>
      </c>
      <c r="BS14" s="63" t="s">
        <v>242</v>
      </c>
      <c r="BT14" s="63"/>
      <c r="BU14" s="410" t="s">
        <v>1001</v>
      </c>
      <c r="BW14" s="410" t="s">
        <v>1005</v>
      </c>
      <c r="BX14" s="3" t="s">
        <v>1007</v>
      </c>
      <c r="BY14" s="3" t="s">
        <v>1008</v>
      </c>
      <c r="BZ14" s="3" t="s">
        <v>1009</v>
      </c>
      <c r="CA14" s="3" t="s">
        <v>1010</v>
      </c>
      <c r="CB14" s="410" t="s">
        <v>1006</v>
      </c>
      <c r="CC14" s="410" t="s">
        <v>1016</v>
      </c>
      <c r="CF14" s="441" t="s">
        <v>242</v>
      </c>
      <c r="CG14" s="548"/>
      <c r="CH14" s="548" t="s">
        <v>995</v>
      </c>
      <c r="CI14" s="548" t="s">
        <v>189</v>
      </c>
      <c r="CJ14" s="548" t="s">
        <v>996</v>
      </c>
      <c r="CK14" s="548" t="s">
        <v>189</v>
      </c>
      <c r="CL14" s="545" t="s">
        <v>998</v>
      </c>
    </row>
    <row r="15" spans="2:103" x14ac:dyDescent="0.15">
      <c r="B15" s="1345"/>
      <c r="C15" s="1400"/>
      <c r="D15" s="331"/>
      <c r="E15" s="1357"/>
      <c r="F15" s="1165" t="str">
        <f>IF(E15=0,"",ROUND(SQRT(COS(AU16*1.5*PI()/180)),3))</f>
        <v/>
      </c>
      <c r="G15" s="586" t="s">
        <v>962</v>
      </c>
      <c r="H15" s="586" t="s">
        <v>963</v>
      </c>
      <c r="I15" s="586" t="s">
        <v>965</v>
      </c>
      <c r="J15" s="586" t="s">
        <v>966</v>
      </c>
      <c r="K15" s="1575"/>
      <c r="L15" s="1654"/>
      <c r="M15" s="1229">
        <f>+IF(L15=0,0,"×")</f>
        <v>0</v>
      </c>
      <c r="N15" s="1295">
        <f>IF(L15=0,0,BB15)</f>
        <v>0</v>
      </c>
      <c r="O15" s="1296" t="str">
        <f>IF(W15=+"","",IF(AND(W15&lt;=1,X15&lt;=1,Z15&lt;=1,AA15&lt;=1),"OK!","NO!"))</f>
        <v/>
      </c>
      <c r="P15" s="1296">
        <f>IF(T15=0,0,IF(AND(Y15=0,AB15=0),0,IF(IF(Y15&gt;=AB15,Y15,AB15)&lt;=1,"OK!","NO!")))</f>
        <v>0</v>
      </c>
      <c r="Q15" s="1659"/>
      <c r="R15" s="1269"/>
      <c r="S15" s="1271">
        <f>IF(R15=0,0,+BR15)</f>
        <v>0</v>
      </c>
      <c r="T15" s="1253">
        <f>IF(AND(S19=0,R15=0),0,+IF(AND(VALUE(RIGHT(Q15,4))=2,S19&gt;0),0,IF(AND(VALUE(RIGHT(Q15,4))=1,R15&gt;0),0,CY15)))</f>
        <v>0</v>
      </c>
      <c r="U15" s="1257">
        <f>IF(R15=0,0,IF(BH18&gt;=BK18,BH18,BK18))</f>
        <v>0</v>
      </c>
      <c r="V15" s="1652"/>
      <c r="W15" s="1257" t="str">
        <f>IF(N15=0,"",ROUNDUP(BF18/AX20,2))</f>
        <v/>
      </c>
      <c r="X15" s="1257" t="str">
        <f>IF(N15=0,"",ROUND(BG18/BE20,2))</f>
        <v/>
      </c>
      <c r="Y15" s="1257">
        <f>IF(K15=0,0,IF(AND(R15=0,V19=0),0,IF(R15=0,ROUNDUP(CF15/(AZ20*$I$181*$AR$10*X19/100),2),+BS16)))</f>
        <v>0</v>
      </c>
      <c r="Z15" s="1257" t="str">
        <f>IF(N15=0,"",ROUNDUP(BI18/AY20,2))</f>
        <v/>
      </c>
      <c r="AA15" s="1257" t="str">
        <f>IF(N15=0,"",ROUNDUP(BJ18/BE20,2))</f>
        <v/>
      </c>
      <c r="AB15" s="1257">
        <f>IF(K15=0,0,IF(AND(R15=0,V19=0),0,IF(R15=0,ROUNDUP(CG15/(BA20*$I$181*$AR$10*X19/100),2),+BT16)))</f>
        <v>0</v>
      </c>
      <c r="AC15" s="158"/>
      <c r="AD15" s="426"/>
      <c r="AE15" s="430"/>
      <c r="AF15" s="428"/>
      <c r="AG15" s="1253">
        <f>IF(AC15=0,0,ROUND(AC15*AD15+AE15*AF15+AC16*AD16+AE16*AF16,2))</f>
        <v>0</v>
      </c>
      <c r="AH15" s="1253" t="str">
        <f>IF(AD15=0,"",IF(AN15=1,AM15/(AR10*X19),AM15))</f>
        <v/>
      </c>
      <c r="AI15" s="1255" t="str">
        <f>IF(AH15=+"","",IF(AH15&lt;=1,"OK!","NO!"))</f>
        <v/>
      </c>
      <c r="AJ15" s="1695">
        <f>+IF(I19=0,0,"1/")</f>
        <v>0</v>
      </c>
      <c r="AK15" s="1696">
        <f>IF(I19=0,0,+BD20)</f>
        <v>0</v>
      </c>
      <c r="AL15" s="194"/>
      <c r="AM15" s="3" t="e">
        <f>+IF(BN18&gt;=BO18,BN18+CW17,BO18+CX17)</f>
        <v>#VALUE!</v>
      </c>
      <c r="AN15" s="3">
        <f>IF(P19=0,0,+VALUE(RIGHT(P19,4)))</f>
        <v>0</v>
      </c>
      <c r="AO15" s="515" t="s">
        <v>878</v>
      </c>
      <c r="AP15" s="3">
        <f>ROUND((G16+H16)/2,2)</f>
        <v>0</v>
      </c>
      <c r="AR15" s="349" t="s">
        <v>707</v>
      </c>
      <c r="AS15" s="349" t="s">
        <v>703</v>
      </c>
      <c r="AT15" s="520" t="s">
        <v>241</v>
      </c>
      <c r="AU15" s="17" t="s">
        <v>83</v>
      </c>
      <c r="AV15" s="63" t="e">
        <f t="shared" ref="AV15:BA15" si="0">ROUNDUP(BC15/3,-1)*3</f>
        <v>#DIV/0!</v>
      </c>
      <c r="AW15" s="63" t="e">
        <f t="shared" si="0"/>
        <v>#VALUE!</v>
      </c>
      <c r="AX15" s="63" t="e">
        <f t="shared" si="0"/>
        <v>#VALUE!</v>
      </c>
      <c r="AY15" s="63" t="e">
        <f t="shared" si="0"/>
        <v>#DIV/0!</v>
      </c>
      <c r="AZ15" s="63" t="e">
        <f t="shared" si="0"/>
        <v>#VALUE!</v>
      </c>
      <c r="BA15" s="63" t="e">
        <f t="shared" si="0"/>
        <v>#VALUE!</v>
      </c>
      <c r="BB15" s="155" t="e">
        <f>+MAX(AV15:BA15)</f>
        <v>#DIV/0!</v>
      </c>
      <c r="BC15" s="63" t="e">
        <f>ROUND(SQRT(ROUND(BI15/AX20*6/(L15/10)/IF(V15=0,1,V15),1))*10,0)</f>
        <v>#DIV/0!</v>
      </c>
      <c r="BD15" s="3" t="e">
        <f>POWER(ROUNDUP(BJ15/(L15/10)*12,0)/IF(V15=0,1,V15)/BE20,1/3)*10</f>
        <v>#VALUE!</v>
      </c>
      <c r="BE15" s="3" t="e">
        <f>POWER(ROUND(BK15/(L15/10)*12,0)/IF(V15=0,1,V15)/BE20,1/3)*10</f>
        <v>#VALUE!</v>
      </c>
      <c r="BF15" s="63" t="e">
        <f>ROUND(SQRT(ROUND(BL15/AY20*6/(L15/10)/IF(V15=0,1,V15),1))*10,2)</f>
        <v>#DIV/0!</v>
      </c>
      <c r="BG15" s="3" t="e">
        <f>POWER(ROUND(BM15/(L15/10)*12,0)/IF(V15=0,1,V15)/BE20,1/3)*10</f>
        <v>#VALUE!</v>
      </c>
      <c r="BH15" s="3" t="e">
        <f>POWER(ROUND(BN15/(L15/10)*12,0)/IF(V15=0,1,V15)/BE20,1/3)*10</f>
        <v>#VALUE!</v>
      </c>
      <c r="BI15" s="63" t="e">
        <f>ROUNDUP(AW18*AW17/AQ19*AR17,1)+BX18+CM18</f>
        <v>#DIV/0!</v>
      </c>
      <c r="BJ15" s="63" t="e">
        <f>AR17*AW17*SQRT(POWER(BA17-AY17,3))/(9*SQRT(3)*AS19*(AW17+AW18))+BY19+CO18</f>
        <v>#VALUE!</v>
      </c>
      <c r="BK15" s="63" t="e">
        <f>AR17*AW18*SQRT(POWER(BA17-AY18,3))/(9*SQRT(3)*AS19*(AW17+AW18))+BY19+CO18</f>
        <v>#VALUE!</v>
      </c>
      <c r="BL15" s="63" t="e">
        <f>ROUNDUP(AW18*AW17/AQ19*AS17,1)+BX18+CN18</f>
        <v>#DIV/0!</v>
      </c>
      <c r="BM15" s="63" t="e">
        <f>AS17*AW17*SQRT(POWER(BA17-AY17,3))/(9*SQRT(3)*AS19*(AW17+AW18))+BY19+CO18</f>
        <v>#VALUE!</v>
      </c>
      <c r="BN15" s="63" t="e">
        <f>AS17*AW18*SQRT(POWER(BA17-AY18,3))/(9*SQRT(3)*AS19*(AW17+AW18))+BY19+CP18</f>
        <v>#VALUE!</v>
      </c>
      <c r="BO15" s="9" t="e">
        <f>IF(AW18&gt;=AW17,ROUNDUP(AR17*AW18/AQ19/BB20,2),ROUNDUP(AR17*AW17/AQ19/BB20,2))</f>
        <v>#DIV/0!</v>
      </c>
      <c r="BP15" s="9" t="e">
        <f>IF(AW18&gt;=AW17,ROUNDUP(AS17*AW18/AQ19/BC20,2),ROUNDUP(AS17*AW17/AQ19/BC20,2))</f>
        <v>#VALUE!</v>
      </c>
      <c r="BQ15" s="23" t="e">
        <f>IF(BO15&gt;=BP15,BO15,BP15)</f>
        <v>#DIV/0!</v>
      </c>
      <c r="BR15" s="9">
        <f>IF(N15=0,0,ROUNDUP(SQRT((U15*L15/10*N15/10)/(R15*R15)),2))</f>
        <v>0</v>
      </c>
      <c r="BS15" s="805" t="s">
        <v>473</v>
      </c>
      <c r="BT15" s="63" t="s">
        <v>474</v>
      </c>
      <c r="BU15" s="63" t="s">
        <v>201</v>
      </c>
      <c r="BV15" s="63" t="s">
        <v>202</v>
      </c>
      <c r="BW15" s="3">
        <v>1</v>
      </c>
      <c r="BX15" s="3">
        <v>2</v>
      </c>
      <c r="BY15" s="3">
        <v>3</v>
      </c>
      <c r="BZ15" s="3">
        <v>4</v>
      </c>
      <c r="CA15" s="3">
        <v>5</v>
      </c>
      <c r="CB15" s="3">
        <v>6</v>
      </c>
      <c r="CF15" s="442" t="e">
        <f>ROUND(IF($AW18&gt;=$AW17,$AW18,$AW17)/$AQ19*$AR17,1)+BX19+CM19</f>
        <v>#DIV/0!</v>
      </c>
      <c r="CG15" s="442" t="e">
        <f>ROUND(IF($AW18&gt;=$AW17,$AW18,$AW17)/$AQ19*$AS17,1)+BX19+CN19</f>
        <v>#DIV/0!</v>
      </c>
      <c r="CH15" s="443" t="e">
        <f>+AV15+CF18</f>
        <v>#DIV/0!</v>
      </c>
      <c r="CI15" s="548" t="e">
        <f>+AW15+CG18</f>
        <v>#VALUE!</v>
      </c>
      <c r="CJ15" s="548" t="e">
        <f>+AY15+CF18</f>
        <v>#DIV/0!</v>
      </c>
      <c r="CK15" s="548" t="e">
        <f>+AZ15+CG18</f>
        <v>#VALUE!</v>
      </c>
      <c r="CL15" s="545" t="e">
        <f>MAX(CH15:CK15)</f>
        <v>#DIV/0!</v>
      </c>
      <c r="CM15" s="63" t="s">
        <v>201</v>
      </c>
      <c r="CN15" s="63" t="s">
        <v>202</v>
      </c>
      <c r="CQ15" s="412" t="s">
        <v>1013</v>
      </c>
      <c r="CR15" s="349" t="s">
        <v>1014</v>
      </c>
      <c r="CS15" s="412" t="s">
        <v>1015</v>
      </c>
      <c r="CT15" s="412" t="s">
        <v>1013</v>
      </c>
      <c r="CU15" s="349" t="s">
        <v>1014</v>
      </c>
      <c r="CV15" s="412" t="s">
        <v>1015</v>
      </c>
      <c r="CW15" s="3" t="s">
        <v>1223</v>
      </c>
      <c r="CX15" s="3" t="s">
        <v>1224</v>
      </c>
      <c r="CY15" s="1253">
        <f>IF(AND(R15=0,V19=0),0,IF(S15=0,I$181*$AR$10*X19/100,ROUND(POWER(R15*S15,2)/(L15/10*N15/10),2)))</f>
        <v>0</v>
      </c>
    </row>
    <row r="16" spans="2:103" x14ac:dyDescent="0.15">
      <c r="B16" s="1345"/>
      <c r="C16" s="1400"/>
      <c r="D16" s="330"/>
      <c r="E16" s="1357"/>
      <c r="F16" s="1166"/>
      <c r="G16" s="1028"/>
      <c r="H16" s="1028"/>
      <c r="I16" s="1028"/>
      <c r="J16" s="1028"/>
      <c r="K16" s="1672"/>
      <c r="L16" s="1653"/>
      <c r="M16" s="1289"/>
      <c r="N16" s="1258"/>
      <c r="O16" s="1392"/>
      <c r="P16" s="1392"/>
      <c r="Q16" s="1660"/>
      <c r="R16" s="1507"/>
      <c r="S16" s="1254"/>
      <c r="T16" s="1272"/>
      <c r="U16" s="1254"/>
      <c r="V16" s="1653"/>
      <c r="W16" s="1258"/>
      <c r="X16" s="1258"/>
      <c r="Y16" s="1254"/>
      <c r="Z16" s="1258"/>
      <c r="AA16" s="1258"/>
      <c r="AB16" s="1254"/>
      <c r="AC16" s="414"/>
      <c r="AD16" s="427"/>
      <c r="AE16" s="431"/>
      <c r="AF16" s="429"/>
      <c r="AG16" s="1254"/>
      <c r="AH16" s="1254"/>
      <c r="AI16" s="1256"/>
      <c r="AJ16" s="1284"/>
      <c r="AK16" s="1524"/>
      <c r="AL16" s="194"/>
      <c r="AO16" s="515" t="s">
        <v>879</v>
      </c>
      <c r="AP16" s="3">
        <f>ROUND((I16+J16)/2,2)</f>
        <v>0</v>
      </c>
      <c r="AQ16" s="479" t="s">
        <v>877</v>
      </c>
      <c r="AR16" s="632">
        <f>+準備!G57+AV20</f>
        <v>850</v>
      </c>
      <c r="AS16" s="632" t="e">
        <f>+準備!G57+AW20</f>
        <v>#VALUE!</v>
      </c>
      <c r="AT16" s="3">
        <f>+IF(OR(V16=0,V16=1),1,V16)</f>
        <v>1</v>
      </c>
      <c r="AU16" s="69">
        <f>ROUND(ATAN(E15/10)*180/PI(),4)</f>
        <v>0</v>
      </c>
      <c r="AV16" s="63" t="e">
        <f>IF(V16=0.8,VLOOKUP(BC16,$AR$398:$AS$443,2),IF(V16=0.9,VLOOKUP(BC16,$AR$351:$AS$396,2),VLOOKUP(BC16,$AR$304:$AS$349,2)))</f>
        <v>#DIV/0!</v>
      </c>
      <c r="AW16" s="63" t="e">
        <f>IF(V16=0.8,VLOOKUP(BD16,$AT$398:$AU$443,2),IF(V16=0.9,VLOOKUP(BD16,$AT$351:$AU$396,2),VLOOKUP(BD16,$AT$304:$AU$349,2)))</f>
        <v>#VALUE!</v>
      </c>
      <c r="AX16" s="63" t="e">
        <f>IF(V16=0.8,VLOOKUP(BE16,$AT$398:$AU$443,2),IF(V16=0.9,VLOOKUP(BE16,$AT$351:$AU$396,2),VLOOKUP(BE16,$AT$304:$AU$349,2)))</f>
        <v>#VALUE!</v>
      </c>
      <c r="AY16" s="63" t="e">
        <f>IF(V16=0.8,VLOOKUP(BF16,$AR$398:$AS$443,2),IF(V16=0.9,VLOOKUP(BF16,$AR$351:$AS$396,2),VLOOKUP(BF16,$AR$304:$AS$349,2)))</f>
        <v>#DIV/0!</v>
      </c>
      <c r="AZ16" s="63" t="e">
        <f>IF(V16=0.8,VLOOKUP(BG16,$AT$398:$AU$443,2),IF(V16=0.9,VLOOKUP(BG16,$AT$351:$AU$396,2),VLOOKUP(BG16,$AT$304:$AU$349,2)))</f>
        <v>#VALUE!</v>
      </c>
      <c r="BA16" s="63" t="e">
        <f>IF(V16=0.8,VLOOKUP(BH16,$AT$398:$AU$443,2),IF(V16=0.9,VLOOKUP(BH16,$AT$351:$AU$396,2),VLOOKUP(BH16,$AT$304:$AU$349,2)))</f>
        <v>#VALUE!</v>
      </c>
      <c r="BB16" s="155" t="e">
        <f>+MAX(AV16:BA16)</f>
        <v>#DIV/0!</v>
      </c>
      <c r="BC16" s="63" t="e">
        <f>ROUNDUP(BI16/AX20/IF(V16=0,1,V16),1)</f>
        <v>#DIV/0!</v>
      </c>
      <c r="BD16" s="63" t="e">
        <f>ROUNDUP(AR17*AW17*BE17/(9*SQRT(3)*AS19*AQ19*BE20)/AT16,2)</f>
        <v>#VALUE!</v>
      </c>
      <c r="BE16" s="63" t="e">
        <f>ROUNDUP(AR17*AW17*BE17/(9*SQRT(3)*AS19*AQ19*BE20)/AT16,2)</f>
        <v>#VALUE!</v>
      </c>
      <c r="BF16" s="63" t="e">
        <f>ROUNDUP(BL16/AY20/IF(V16=0,1,V16),1)</f>
        <v>#DIV/0!</v>
      </c>
      <c r="BG16" s="63" t="e">
        <f>ROUNDUP(AS17*AW17*BE17/(9*SQRT(3)*AS19*AQ19*BE20)/AT16,2)</f>
        <v>#VALUE!</v>
      </c>
      <c r="BH16" s="63" t="e">
        <f>ROUNDUP(AS17*AW18*BE17/(9*SQRT(3)*AS19*AQ19*BE20)/AT16,2)</f>
        <v>#VALUE!</v>
      </c>
      <c r="BI16" s="63" t="e">
        <f>ROUNDUP(AW17*AW18/AQ19*AR17,1)+BX18+CM18</f>
        <v>#DIV/0!</v>
      </c>
      <c r="BJ16" s="63" t="e">
        <f>+BJ15</f>
        <v>#VALUE!</v>
      </c>
      <c r="BK16" s="63" t="e">
        <f>+BK15</f>
        <v>#VALUE!</v>
      </c>
      <c r="BL16" s="63" t="e">
        <f>+BL15</f>
        <v>#DIV/0!</v>
      </c>
      <c r="BM16" s="63" t="e">
        <f>+BM15</f>
        <v>#VALUE!</v>
      </c>
      <c r="BN16" s="63" t="e">
        <f>+BN15</f>
        <v>#VALUE!</v>
      </c>
      <c r="BO16" s="9" t="e">
        <f>IF(AW18&gt;=AW17,ROUNDUP(AR17*AW18/AQ19/BB20,2),ROUNDUP(AR17*AW17/AQ19/BB20,2))</f>
        <v>#DIV/0!</v>
      </c>
      <c r="BP16" s="9" t="e">
        <f>IF(AW18&gt;=AW17,ROUNDUP(AS17*AW18/AQ19/BC20,2),ROUNDUP(AS17*AW17/AQ19/BC20,2))</f>
        <v>#VALUE!</v>
      </c>
      <c r="BQ16" s="23" t="e">
        <f>IF(BO16&gt;=BP16,BO16,BP16)</f>
        <v>#DIV/0!</v>
      </c>
      <c r="BR16" s="9">
        <f>IF(N16=0,0,ROUNDUP(SQRT(IF(Q16=0,(U16*(N16/10-5)*(N16/10-3)),(U16*(Q16/10-5)*(Q16/10-3)))/(R16*R16)),2))</f>
        <v>0</v>
      </c>
      <c r="BS16" s="63" t="str">
        <f>IF(N15=0,"",ROUND(CF15/(AZ20*T15),2))</f>
        <v/>
      </c>
      <c r="BT16" s="63" t="str">
        <f>IF(N15=0,"",ROUND(CG15/(BA20*T15),1))</f>
        <v/>
      </c>
      <c r="BU16" s="805" t="s">
        <v>269</v>
      </c>
      <c r="BV16" s="805" t="s">
        <v>269</v>
      </c>
      <c r="BW16" s="632">
        <f>+準備!$G$20/100</f>
        <v>4.5</v>
      </c>
      <c r="BX16" s="632">
        <f>+準備!$G$24/100</f>
        <v>11</v>
      </c>
      <c r="BY16" s="632">
        <f>+準備!$G$28/100</f>
        <v>14</v>
      </c>
      <c r="BZ16" s="632">
        <f>+準備!$G$32/100</f>
        <v>17.5</v>
      </c>
      <c r="CA16" s="632">
        <f>+準備!$G$36/100</f>
        <v>17.5</v>
      </c>
      <c r="CB16" s="632">
        <f>+準備!$G$38/100</f>
        <v>4</v>
      </c>
      <c r="CF16" s="548" t="e">
        <f>+IF($AW18&gt;=$AW17,$AW18*$AR17/($K19*100)+BX19,$AW17*$AR17/($K19*100)+BX19+CM19)</f>
        <v>#DIV/0!</v>
      </c>
      <c r="CG16" s="548" t="e">
        <f>+IF($AW18&gt;=$AW17,$AW18*$AS17/($K19*100)+BX19,$AW17*$AS17/($K19*100)+BX19+CN19)</f>
        <v>#VALUE!</v>
      </c>
      <c r="CH16" s="548" t="e">
        <f>+AV16+CF18</f>
        <v>#DIV/0!</v>
      </c>
      <c r="CI16" s="548" t="e">
        <f>+AW16+CG18</f>
        <v>#VALUE!</v>
      </c>
      <c r="CJ16" s="548" t="e">
        <f>+AY16+CF18</f>
        <v>#DIV/0!</v>
      </c>
      <c r="CK16" s="548" t="e">
        <f>+AZ16+CG18</f>
        <v>#VALUE!</v>
      </c>
      <c r="CL16" s="545" t="e">
        <f>MAX(CH16:CK16)</f>
        <v>#DIV/0!</v>
      </c>
      <c r="CM16" s="805" t="s">
        <v>269</v>
      </c>
      <c r="CN16" s="805" t="s">
        <v>269</v>
      </c>
      <c r="CO16" s="3" t="s">
        <v>189</v>
      </c>
      <c r="CQ16" s="3" t="e">
        <f>IF($BX18=0,0,ROUND(($BX18+$CM18)/$CA19,1))</f>
        <v>#N/A</v>
      </c>
      <c r="CR16" s="3" t="e">
        <f>IF($BY19=0,0,ROUND(($BY19+$CO18)/$CC19,2))</f>
        <v>#N/A</v>
      </c>
      <c r="CS16" s="3" t="e">
        <f>IF($BX19=0,0,ROUND(($BX19+$CM19)/$T15,1))</f>
        <v>#N/A</v>
      </c>
      <c r="CT16" s="3" t="e">
        <f>IF($BX18=0,0,ROUND(($BX18+$CN18)/$CA19,1))</f>
        <v>#N/A</v>
      </c>
      <c r="CU16" s="3" t="e">
        <f>IF($BY19=0,0,ROUND(($BY19+$CP18)/$CC19,2))</f>
        <v>#N/A</v>
      </c>
      <c r="CV16" s="3" t="e">
        <f>IF($BX19=0,0,ROUND(($BX19+$CN19)/$T15,1))</f>
        <v>#N/A</v>
      </c>
      <c r="CW16" s="3" t="e">
        <f>ROUND(VLOOKUP(VALUE(RIGHT($K15,4)),許容応力!$B$6:$K$22,9)*1.1/3*100,0)</f>
        <v>#VALUE!</v>
      </c>
      <c r="CX16" s="3" t="e">
        <f>ROUND(VLOOKUP(VALUE(RIGHT($K15,4)),許容応力!$B$6:$K$22,9)*2/3*0.8*100,0)</f>
        <v>#VALUE!</v>
      </c>
      <c r="CY16" s="1272"/>
    </row>
    <row r="17" spans="2:103" x14ac:dyDescent="0.15">
      <c r="B17" s="1345"/>
      <c r="C17" s="1217" t="s">
        <v>980</v>
      </c>
      <c r="D17" s="1403" t="s">
        <v>961</v>
      </c>
      <c r="E17" s="1404"/>
      <c r="F17" s="1407" t="s">
        <v>964</v>
      </c>
      <c r="G17" s="1408"/>
      <c r="H17" s="1239" t="s">
        <v>970</v>
      </c>
      <c r="I17" s="1215" t="s">
        <v>967</v>
      </c>
      <c r="J17" s="1397"/>
      <c r="K17" s="461"/>
      <c r="L17" s="451"/>
      <c r="M17" s="450"/>
      <c r="N17" s="451"/>
      <c r="O17" s="450"/>
      <c r="P17" s="451"/>
      <c r="Q17" s="878"/>
      <c r="R17" s="1307" t="s">
        <v>1154</v>
      </c>
      <c r="S17" s="1308"/>
      <c r="T17" s="1308"/>
      <c r="U17" s="1308"/>
      <c r="V17" s="1308"/>
      <c r="W17" s="1308"/>
      <c r="X17" s="1621"/>
      <c r="Y17" s="453"/>
      <c r="Z17" s="453"/>
      <c r="AA17" s="453"/>
      <c r="AB17" s="453"/>
      <c r="AC17" s="462"/>
      <c r="AD17" s="452"/>
      <c r="AE17" s="451"/>
      <c r="AF17" s="453"/>
      <c r="AG17" s="452"/>
      <c r="AH17" s="452"/>
      <c r="AI17" s="450"/>
      <c r="AJ17" s="454"/>
      <c r="AK17" s="455"/>
      <c r="AL17" s="194"/>
      <c r="AO17" s="637" t="s">
        <v>958</v>
      </c>
      <c r="AQ17" s="638" t="s">
        <v>994</v>
      </c>
      <c r="AR17" s="3">
        <f>ROUND(AR16*AP15*AP16,0)</f>
        <v>0</v>
      </c>
      <c r="AS17" s="3" t="e">
        <f>ROUND(AS16*AP15*AP16,0)</f>
        <v>#VALUE!</v>
      </c>
      <c r="AT17" s="639" t="e">
        <f>+VALUE(RIGHT(K15,4))</f>
        <v>#VALUE!</v>
      </c>
      <c r="AU17" s="639" t="e">
        <f>+VLOOKUP(VALUE(RIGHT(K15,4)),$G$387:$J$397,3)</f>
        <v>#VALUE!</v>
      </c>
      <c r="AV17" s="377" t="s">
        <v>986</v>
      </c>
      <c r="AW17" s="640">
        <f>+J19*100</f>
        <v>0</v>
      </c>
      <c r="AX17" s="3" t="s">
        <v>988</v>
      </c>
      <c r="AY17" s="3">
        <f>+POWER(AW17,2)</f>
        <v>0</v>
      </c>
      <c r="AZ17" s="3" t="s">
        <v>990</v>
      </c>
      <c r="BA17" s="3">
        <f>+POWER(AQ19,2)</f>
        <v>0</v>
      </c>
      <c r="BB17" s="3" t="s">
        <v>999</v>
      </c>
      <c r="BC17" s="3">
        <f>+BA17-AY17</f>
        <v>0</v>
      </c>
      <c r="BD17" s="3" t="s">
        <v>992</v>
      </c>
      <c r="BE17" s="3">
        <f>SQRT(+POWER(BC17,3))</f>
        <v>0</v>
      </c>
      <c r="BF17" s="52" t="s">
        <v>287</v>
      </c>
      <c r="BG17" s="805" t="s">
        <v>288</v>
      </c>
      <c r="BH17" s="52" t="s">
        <v>490</v>
      </c>
      <c r="BI17" s="52" t="s">
        <v>289</v>
      </c>
      <c r="BJ17" s="805" t="s">
        <v>290</v>
      </c>
      <c r="BK17" s="52" t="s">
        <v>493</v>
      </c>
      <c r="BL17" s="805" t="s">
        <v>291</v>
      </c>
      <c r="BM17" s="805" t="s">
        <v>292</v>
      </c>
      <c r="BN17" s="412" t="s">
        <v>1020</v>
      </c>
      <c r="BO17" s="412" t="s">
        <v>1021</v>
      </c>
      <c r="BS17" s="63" t="str">
        <f>+BS16</f>
        <v/>
      </c>
      <c r="BT17" s="63" t="str">
        <f>+BT16</f>
        <v/>
      </c>
      <c r="BU17" s="87" t="e">
        <f>IF(OR(BR18=0,BR18=1),0,ROUNDUP((準備!$G$60/100+準備!$D$48/100)*((F19+G19)/2*100)/200,2))</f>
        <v>#N/A</v>
      </c>
      <c r="BV17" s="87" t="e">
        <f>+BU17</f>
        <v>#N/A</v>
      </c>
      <c r="BW17" s="3">
        <f t="shared" ref="BW17:CB17" si="1">ROUND(BW16*$I20,2)</f>
        <v>0</v>
      </c>
      <c r="BX17" s="3">
        <f t="shared" si="1"/>
        <v>0</v>
      </c>
      <c r="BY17" s="3">
        <f t="shared" si="1"/>
        <v>0</v>
      </c>
      <c r="BZ17" s="3">
        <f t="shared" si="1"/>
        <v>0</v>
      </c>
      <c r="CA17" s="3">
        <f t="shared" si="1"/>
        <v>0</v>
      </c>
      <c r="CB17" s="3">
        <f t="shared" si="1"/>
        <v>0</v>
      </c>
      <c r="CF17" s="412" t="s">
        <v>1065</v>
      </c>
      <c r="CG17" s="349" t="s">
        <v>1066</v>
      </c>
      <c r="CH17" s="412" t="s">
        <v>1067</v>
      </c>
      <c r="CM17" s="87">
        <f>IF(OR($BR18=0,$BR18=1),0,ROUND((準備!$G$6+$AV20)*$G19/200,2))</f>
        <v>0</v>
      </c>
      <c r="CN17" s="87" t="e">
        <f>IF(OR($BR18=0,$BR18=1),0,ROUND((準備!$G$6+$AW20)*$G19/200,2))</f>
        <v>#VALUE!</v>
      </c>
      <c r="CO17" s="3" t="s">
        <v>168</v>
      </c>
      <c r="CP17" s="3" t="s">
        <v>203</v>
      </c>
      <c r="CQ17" s="412" t="s">
        <v>1065</v>
      </c>
      <c r="CR17" s="349" t="s">
        <v>1066</v>
      </c>
      <c r="CS17" s="412" t="s">
        <v>1067</v>
      </c>
      <c r="CT17" s="412" t="s">
        <v>1065</v>
      </c>
      <c r="CU17" s="349" t="s">
        <v>1066</v>
      </c>
      <c r="CV17" s="412" t="s">
        <v>1067</v>
      </c>
      <c r="CW17" s="3" t="e">
        <f>ROUND($CM$17*K19*100/2/CW16/AG15,2)</f>
        <v>#VALUE!</v>
      </c>
      <c r="CX17" s="3" t="e">
        <f>ROUND(CN17*K19*100/2/CX16/AG15,2)</f>
        <v>#VALUE!</v>
      </c>
    </row>
    <row r="18" spans="2:103" x14ac:dyDescent="0.15">
      <c r="B18" s="1345"/>
      <c r="C18" s="1402"/>
      <c r="D18" s="1405"/>
      <c r="E18" s="1406"/>
      <c r="F18" s="411" t="s">
        <v>971</v>
      </c>
      <c r="G18" s="587" t="s">
        <v>1071</v>
      </c>
      <c r="H18" s="1409"/>
      <c r="I18" s="586" t="s">
        <v>981</v>
      </c>
      <c r="J18" s="592" t="s">
        <v>982</v>
      </c>
      <c r="K18" s="440" t="s">
        <v>1011</v>
      </c>
      <c r="L18" s="592" t="s">
        <v>1071</v>
      </c>
      <c r="M18" s="456" t="s">
        <v>1072</v>
      </c>
      <c r="N18" s="457"/>
      <c r="O18" s="876"/>
      <c r="P18" s="1342"/>
      <c r="Q18" s="1406"/>
      <c r="R18" s="877" t="s">
        <v>1265</v>
      </c>
      <c r="S18" s="877" t="s">
        <v>1266</v>
      </c>
      <c r="T18" s="877" t="s">
        <v>1267</v>
      </c>
      <c r="U18" s="877" t="s">
        <v>1260</v>
      </c>
      <c r="V18" s="877" t="s">
        <v>1268</v>
      </c>
      <c r="W18" s="440" t="s">
        <v>1151</v>
      </c>
      <c r="X18" s="440" t="s">
        <v>1153</v>
      </c>
      <c r="Y18" s="324"/>
      <c r="Z18" s="324"/>
      <c r="AA18" s="324"/>
      <c r="AB18" s="324"/>
      <c r="AC18" s="463"/>
      <c r="AD18" s="325"/>
      <c r="AE18" s="302"/>
      <c r="AF18" s="324"/>
      <c r="AG18" s="325"/>
      <c r="AH18" s="325"/>
      <c r="AI18" s="594"/>
      <c r="AJ18" s="420"/>
      <c r="AK18" s="421"/>
      <c r="AL18" s="194"/>
      <c r="AP18" s="3" t="s">
        <v>790</v>
      </c>
      <c r="AQ18" s="3">
        <f>+L15</f>
        <v>0</v>
      </c>
      <c r="AR18" s="3" t="s">
        <v>985</v>
      </c>
      <c r="AS18" s="3">
        <f>+N15</f>
        <v>0</v>
      </c>
      <c r="AT18" s="3" t="s">
        <v>15</v>
      </c>
      <c r="AU18" s="3" t="e">
        <f>+VALUE(RIGHT(K15,4))</f>
        <v>#VALUE!</v>
      </c>
      <c r="AV18" s="377" t="s">
        <v>987</v>
      </c>
      <c r="AW18" s="640">
        <f>+I19*100</f>
        <v>0</v>
      </c>
      <c r="AX18" s="3" t="s">
        <v>989</v>
      </c>
      <c r="AY18" s="3">
        <f>+POWER(AW18,2)</f>
        <v>0</v>
      </c>
      <c r="AZ18" s="409">
        <f>+VALUE(RIGHT($G$10,3))</f>
        <v>2</v>
      </c>
      <c r="BB18" s="3" t="s">
        <v>991</v>
      </c>
      <c r="BC18" s="3">
        <f>+BA17-AY18</f>
        <v>0</v>
      </c>
      <c r="BD18" s="3" t="s">
        <v>993</v>
      </c>
      <c r="BE18" s="3">
        <f>SQRT(+POWER(BC18,3))</f>
        <v>0</v>
      </c>
      <c r="BF18" s="3" t="e">
        <f>ROUND((BI15)/BL18,1)</f>
        <v>#DIV/0!</v>
      </c>
      <c r="BG18" s="3" t="e">
        <f>+IF(AW18&gt;=AW17,BJ15/AU19,BK15/AU19)</f>
        <v>#VALUE!</v>
      </c>
      <c r="BH18" s="63" t="e">
        <f>+CF15/AZ20</f>
        <v>#DIV/0!</v>
      </c>
      <c r="BI18" s="3" t="e">
        <f>ROUND(BL15/BL18,1)</f>
        <v>#DIV/0!</v>
      </c>
      <c r="BJ18" s="3" t="e">
        <f>+IF(AW18&gt;=AW17,BM15/AU19,BN15/AU19)</f>
        <v>#VALUE!</v>
      </c>
      <c r="BK18" s="63" t="e">
        <f>+CG15/BA20</f>
        <v>#DIV/0!</v>
      </c>
      <c r="BL18" s="63">
        <f>ROUNDDOWN(L15/10*POWER(N15/10,2)/6*IF(OR(V15=0,V15=1),1,V15),0)</f>
        <v>0</v>
      </c>
      <c r="BM18" s="63">
        <f>ROUNDDOWN(L15/10*POWER(N15/10,3)/12*IF(OR(V15=0,V15=1),1,V15),0)</f>
        <v>0</v>
      </c>
      <c r="BN18" s="63" t="str">
        <f>IF(N15=0,"",IF(AW18&gt;=AW17,ROUND(AR17*AW18/AQ19/AG15/BB20,2),ROUNDUP(AR17*AW17/AQ19/AG15/BB20,2)))</f>
        <v/>
      </c>
      <c r="BO18" s="63" t="str">
        <f>IF(N15=0,"",IF(AW18&gt;=AW17,ROUND(AS17*AW18/AQ19/AG15/BC20,2),ROUNDUP(AS17*AW17/AQ19/AG15/BC20,2)))</f>
        <v/>
      </c>
      <c r="BQ18" s="3" t="s">
        <v>1012</v>
      </c>
      <c r="BR18" s="3">
        <f>IF(D17=0,0,+VALUE(RIGHT(D17,4)))</f>
        <v>2</v>
      </c>
      <c r="BS18" s="3" t="s">
        <v>1003</v>
      </c>
      <c r="BT18" s="3">
        <f>IF(G20=0,0,+VALUE(RIGHT(G20,4)))</f>
        <v>0</v>
      </c>
      <c r="BU18" s="3">
        <f>IF(OR(BR19=0,BR19=2),0,HLOOKUP(BT18,BW15:CB17,3))</f>
        <v>0</v>
      </c>
      <c r="BV18" s="3">
        <f>+BU18</f>
        <v>0</v>
      </c>
      <c r="BW18" s="3" t="s">
        <v>1019</v>
      </c>
      <c r="BX18" s="3" t="e">
        <f>BU19*POWER(AQ19,2)/8</f>
        <v>#N/A</v>
      </c>
      <c r="BY18" s="3" t="s">
        <v>189</v>
      </c>
      <c r="BZ18" s="3" t="s">
        <v>782</v>
      </c>
      <c r="CA18" s="3" t="e">
        <f>ROUNDUP(+SQRT((BX18+CM18)*6/(AX20*L15/10)),0)</f>
        <v>#N/A</v>
      </c>
      <c r="CF18" s="3" t="e">
        <f>+ROUNDUP(CQ18/3,-1)*3</f>
        <v>#N/A</v>
      </c>
      <c r="CG18" s="3" t="e">
        <f>ROUNDUP(CR18/3,-1)*3</f>
        <v>#N/A</v>
      </c>
      <c r="CH18" s="3" t="e">
        <f>ROUNDUP(CS18/3,-1)*3</f>
        <v>#N/A</v>
      </c>
      <c r="CL18" s="3" t="s">
        <v>1019</v>
      </c>
      <c r="CM18" s="3">
        <f>+CM17*POWER(K19*100,2)/8</f>
        <v>0</v>
      </c>
      <c r="CN18" s="3" t="e">
        <f>+CN17*POWER(K19*100,2)/8</f>
        <v>#VALUE!</v>
      </c>
      <c r="CO18" s="3" t="e">
        <f>5*CM17*POWER(AQ19,4)/(384*AS19)</f>
        <v>#VALUE!</v>
      </c>
      <c r="CP18" s="3" t="e">
        <f>5*CN17*POWER(AQ19,4)/(384*AS19)</f>
        <v>#VALUE!</v>
      </c>
      <c r="CQ18" s="3" t="e">
        <f>+CQ16/AX20</f>
        <v>#N/A</v>
      </c>
      <c r="CR18" s="3" t="e">
        <f>+CR16/BE20</f>
        <v>#N/A</v>
      </c>
      <c r="CS18" s="3" t="e">
        <f>+CS16/AZ20</f>
        <v>#N/A</v>
      </c>
      <c r="CT18" s="3" t="e">
        <f>+CT16/AX20</f>
        <v>#N/A</v>
      </c>
      <c r="CU18" s="3" t="e">
        <f>+CU16/BE20</f>
        <v>#N/A</v>
      </c>
      <c r="CV18" s="3" t="e">
        <f>+CV16/AZ20</f>
        <v>#N/A</v>
      </c>
    </row>
    <row r="19" spans="2:103" x14ac:dyDescent="0.15">
      <c r="B19" s="1345"/>
      <c r="C19" s="1219"/>
      <c r="D19" s="1322"/>
      <c r="E19" s="1211"/>
      <c r="F19" s="1031"/>
      <c r="G19" s="1031"/>
      <c r="H19" s="1410"/>
      <c r="I19" s="1031"/>
      <c r="J19" s="413"/>
      <c r="K19" s="464">
        <f>+I19+J19</f>
        <v>0</v>
      </c>
      <c r="L19" s="302"/>
      <c r="M19" s="594"/>
      <c r="N19" s="302"/>
      <c r="O19" s="594"/>
      <c r="P19" s="1382"/>
      <c r="Q19" s="1406"/>
      <c r="R19" s="1029"/>
      <c r="S19" s="1029"/>
      <c r="T19" s="882">
        <f>+IF(S19=0,0,6)</f>
        <v>0</v>
      </c>
      <c r="U19" s="1029"/>
      <c r="V19" s="1029"/>
      <c r="W19" s="1018">
        <f>IF(V19=0,0,+$I$170)</f>
        <v>0</v>
      </c>
      <c r="X19" s="574">
        <f>IF(V19=0,0,+VLOOKUP(W19,$I$189:$J$194,2))</f>
        <v>0</v>
      </c>
      <c r="Y19" s="324"/>
      <c r="Z19" s="324"/>
      <c r="AA19" s="324"/>
      <c r="AB19" s="324"/>
      <c r="AC19" s="463"/>
      <c r="AD19" s="325"/>
      <c r="AE19" s="302"/>
      <c r="AF19" s="324"/>
      <c r="AG19" s="325"/>
      <c r="AH19" s="325"/>
      <c r="AI19" s="594"/>
      <c r="AJ19" s="420"/>
      <c r="AK19" s="421"/>
      <c r="AL19" s="194"/>
      <c r="AP19" s="3" t="s">
        <v>983</v>
      </c>
      <c r="AQ19" s="641">
        <f>(+I19+J19)*100</f>
        <v>0</v>
      </c>
      <c r="AR19" s="615" t="s">
        <v>880</v>
      </c>
      <c r="AS19" s="642" t="e">
        <f>+VLOOKUP(VALUE(RIGHT(K15,4)),許容応力!$B$6:$K$22,10)*100</f>
        <v>#VALUE!</v>
      </c>
      <c r="AT19" s="615" t="s">
        <v>881</v>
      </c>
      <c r="AU19" s="520">
        <f>+BM18</f>
        <v>0</v>
      </c>
      <c r="AV19" s="18" t="s">
        <v>209</v>
      </c>
      <c r="AW19" s="18" t="s">
        <v>210</v>
      </c>
      <c r="AX19" s="3" t="s">
        <v>997</v>
      </c>
      <c r="AY19" s="3" t="s">
        <v>294</v>
      </c>
      <c r="AZ19" s="52" t="s">
        <v>498</v>
      </c>
      <c r="BA19" s="52" t="s">
        <v>499</v>
      </c>
      <c r="BB19" s="52" t="s">
        <v>500</v>
      </c>
      <c r="BC19" s="52" t="s">
        <v>501</v>
      </c>
      <c r="BD19" s="805" t="s">
        <v>295</v>
      </c>
      <c r="BE19" s="805" t="s">
        <v>296</v>
      </c>
      <c r="BF19" s="3" t="e">
        <f>ROUND(BI16/BL19,1)</f>
        <v>#DIV/0!</v>
      </c>
      <c r="BG19" s="3" t="e">
        <f>+IF(AW18&gt;=AW17,BJ16/AU20,BK16/AU20)</f>
        <v>#VALUE!</v>
      </c>
      <c r="BH19" s="63" t="e">
        <f>+BH18</f>
        <v>#DIV/0!</v>
      </c>
      <c r="BI19" s="3" t="e">
        <f>ROUND(BL16/BL19,1)</f>
        <v>#DIV/0!</v>
      </c>
      <c r="BJ19" s="3" t="e">
        <f>+IF(AW18&gt;=AW17,BM16/AU20,BN16/AU20)</f>
        <v>#VALUE!</v>
      </c>
      <c r="BK19" s="63" t="e">
        <f>+BK18</f>
        <v>#DIV/0!</v>
      </c>
      <c r="BL19" s="63">
        <f>IF(N16&lt;180,ROUND((N16/10-3)*POWER($N16/10-3,2)/6*IF(V16=0,1,V16),0),ROUND((N16/10-5)*POWER(N16/10-3,2)/6*IF($V16=0,1,$V16),0))</f>
        <v>-5</v>
      </c>
      <c r="BM19" s="63">
        <f>ROUND(IF(N16&lt;180,(N16/10-3)*POWER((N16/10-3),3)/12*IF(V16=0,1,V16),(N16/10-5))*POWER((N16/10-3),3)/12*IF(V16=0,1,V16),0)</f>
        <v>-15</v>
      </c>
      <c r="BN19" s="63" t="str">
        <f>IF(N16=0,"",IF(AW18&gt;=AW17,ROUND(AR17*AW18/AQ19/AG16/BB20,2),ROUNDUP(AR17*AW18/AQ19/AG16/BB20,2)))</f>
        <v/>
      </c>
      <c r="BO19" s="63" t="str">
        <f>IF(N15=0,"",IF(AW18&gt;=AW17,ROUND(AS17*AW18/AQ19/AG16/BC20,2),ROUNDUP(AS17*AW17/AQ19/AG16/BC20,2)))</f>
        <v/>
      </c>
      <c r="BQ19" s="3" t="s">
        <v>1002</v>
      </c>
      <c r="BR19" s="3">
        <f>IF(E20=0,0,+VALUE(RIGHT(E20,4)))</f>
        <v>0</v>
      </c>
      <c r="BT19" s="3" t="s">
        <v>1011</v>
      </c>
      <c r="BU19" s="3" t="e">
        <f>+BU17+BU18</f>
        <v>#N/A</v>
      </c>
      <c r="BV19" s="3" t="e">
        <f>+BV17+BV18</f>
        <v>#N/A</v>
      </c>
      <c r="BW19" s="3" t="s">
        <v>1018</v>
      </c>
      <c r="BX19" s="3" t="e">
        <f>+BU19*AQ19/2</f>
        <v>#N/A</v>
      </c>
      <c r="BY19" s="3" t="e">
        <f>5*BU19*POWER(AQ19,4)/(384*AS19)</f>
        <v>#N/A</v>
      </c>
      <c r="BZ19" s="805" t="s">
        <v>291</v>
      </c>
      <c r="CA19" s="3" t="e">
        <f>ROUND(L15/10*POWER(CA18,2)/6,0)</f>
        <v>#N/A</v>
      </c>
      <c r="CB19" s="805" t="s">
        <v>292</v>
      </c>
      <c r="CC19" s="3" t="e">
        <f>ROUND(L15/10*POWER(CA18,3)/12,0)</f>
        <v>#N/A</v>
      </c>
      <c r="CL19" s="3" t="s">
        <v>1018</v>
      </c>
      <c r="CM19" s="3">
        <f>+CM17*K19*100/2</f>
        <v>0</v>
      </c>
      <c r="CN19" s="3" t="e">
        <f>+CN17*K19*100/2</f>
        <v>#VALUE!</v>
      </c>
    </row>
    <row r="20" spans="2:103" ht="15" thickBot="1" x14ac:dyDescent="0.2">
      <c r="B20" s="1346"/>
      <c r="C20" s="1411" t="s">
        <v>1002</v>
      </c>
      <c r="D20" s="1412"/>
      <c r="E20" s="1150"/>
      <c r="F20" s="465" t="s">
        <v>1003</v>
      </c>
      <c r="G20" s="1136"/>
      <c r="H20" s="459" t="s">
        <v>1004</v>
      </c>
      <c r="I20" s="460"/>
      <c r="J20" s="466"/>
      <c r="K20" s="580"/>
      <c r="L20" s="1275"/>
      <c r="M20" s="1275"/>
      <c r="N20" s="225"/>
      <c r="O20" s="593"/>
      <c r="P20" s="593"/>
      <c r="Q20" s="593"/>
      <c r="R20" s="467"/>
      <c r="S20" s="422"/>
      <c r="T20" s="422"/>
      <c r="U20" s="423"/>
      <c r="V20" s="468"/>
      <c r="W20" s="1025">
        <f>IF(V19=0,0,+$I$169)</f>
        <v>0</v>
      </c>
      <c r="X20" s="423"/>
      <c r="Y20" s="423"/>
      <c r="Z20" s="423"/>
      <c r="AA20" s="423"/>
      <c r="AB20" s="423"/>
      <c r="AC20" s="467"/>
      <c r="AD20" s="422"/>
      <c r="AE20" s="225"/>
      <c r="AF20" s="423"/>
      <c r="AG20" s="422"/>
      <c r="AH20" s="422"/>
      <c r="AI20" s="593"/>
      <c r="AJ20" s="424"/>
      <c r="AK20" s="425"/>
      <c r="AL20" s="194"/>
      <c r="AP20" s="515" t="s">
        <v>984</v>
      </c>
      <c r="AQ20" s="3">
        <f>IF(F19=0,1,ROUND((F19+G19)/2,2))</f>
        <v>1</v>
      </c>
      <c r="AT20" s="615" t="s">
        <v>881</v>
      </c>
      <c r="AU20" s="3">
        <f>+BM19</f>
        <v>-15</v>
      </c>
      <c r="AV20" s="63">
        <f>ROUNDUP(IF(VALUE(RIGHT($G$10,3))=1,AW20*0.7,0),0)</f>
        <v>0</v>
      </c>
      <c r="AW20" s="63" t="e">
        <f>ROUNDUP(IF(VALUE(RIGHT($G$10,4))=1,$M$10*30*F15*100,$M$10*20*F15*100),0)</f>
        <v>#VALUE!</v>
      </c>
      <c r="AX20" s="10" t="e">
        <f>IF(AZ18=2,ROUND(VLOOKUP(AU18,許容応力!$B$6:$K$22,7)*1.1/3*100,0),ROUND(VLOOKUP(AU18,許容応力!$B$6:$K$22,7)*1.1/3*1.3*100,0))</f>
        <v>#VALUE!</v>
      </c>
      <c r="AY20" s="63" t="e">
        <f>ROUND(VLOOKUP(AU18,許容応力!$B$6:$K$22,7)*100*2/3*0.8,0)</f>
        <v>#VALUE!</v>
      </c>
      <c r="AZ20" s="10" t="e">
        <f>IF(AZ18=2,ROUND(VLOOKUP(AU18,許容応力!$B$6:$K$22,8)*1.1/3*100,0),ROUND(VLOOKUP(AU18,許容応力!$B$6:$K$22,8)*1.1/3*1.3*100,0))</f>
        <v>#VALUE!</v>
      </c>
      <c r="BA20" s="63" t="e">
        <f>ROUND(VLOOKUP(AU18,許容応力!$B$6:$K$22,8)*100*2/3*0.8,0)</f>
        <v>#VALUE!</v>
      </c>
      <c r="BB20" s="10" t="e">
        <f>IF(AZ18=2,ROUND(VLOOKUP(AU18,許容応力!$B$6:$K$22,9)*1.1/3*100,0),ROUND(VLOOKUP(AU18,許容応力!$B$6:$K$22,9)*1.1/3*1.3*100,0))</f>
        <v>#VALUE!</v>
      </c>
      <c r="BC20" s="63" t="e">
        <f>ROUND(VLOOKUP(AU18,許容応力!$B$6:$K$22,9)*100*2/3*0.8,0)</f>
        <v>#VALUE!</v>
      </c>
      <c r="BD20" s="63">
        <f>IF(AZ18=2,400,200)</f>
        <v>400</v>
      </c>
      <c r="BE20" s="63">
        <f>ROUND(AQ19/BD20,2)</f>
        <v>0</v>
      </c>
    </row>
    <row r="21" spans="2:103" x14ac:dyDescent="0.15">
      <c r="B21" s="1711" t="s">
        <v>1073</v>
      </c>
      <c r="C21" s="1400"/>
      <c r="D21" s="331"/>
      <c r="E21" s="1357"/>
      <c r="F21" s="1165" t="str">
        <f>IF(E21=0,"",ROUND(SQRT(COS(AU22*1.5*PI()/180)),3))</f>
        <v/>
      </c>
      <c r="G21" s="586"/>
      <c r="H21" s="586"/>
      <c r="I21" s="586"/>
      <c r="J21" s="586"/>
      <c r="K21" s="1575"/>
      <c r="L21" s="1654"/>
      <c r="M21" s="1229">
        <f>+IF(L21=0,0,"×")</f>
        <v>0</v>
      </c>
      <c r="N21" s="1295">
        <f>IF(L21=0,0,BB21)</f>
        <v>0</v>
      </c>
      <c r="O21" s="1296" t="str">
        <f>IF(W21=+"","",IF(AND(W21&lt;=1,X21&lt;=1,Z21&lt;=1,AA21&lt;=1),"OK!","NO!"))</f>
        <v/>
      </c>
      <c r="P21" s="1296">
        <f>IF(T21=0,0,IF(AND(Y21=0,AB21=0),0,IF(IF(Y21&gt;=AB21,Y21,AB21)&lt;=1,"OK!","NO!")))</f>
        <v>0</v>
      </c>
      <c r="Q21" s="1659"/>
      <c r="R21" s="1269"/>
      <c r="S21" s="1709">
        <f>IF(R21=0,0,+BR21)</f>
        <v>0</v>
      </c>
      <c r="T21" s="1253">
        <f>IF(AND(R21=0,V25=0),0,IF(S21=0,ROUND($J$181*$AR$10*X25/100,2),ROUNDUP(POWER(R21*S21,2)/(L21/10*IF(Q21=0,N21/10,Q21/10)),2)))</f>
        <v>0</v>
      </c>
      <c r="U21" s="1257">
        <f>IF(R21=0,0,IF(BH24&gt;=BK24,BH24,BK24))</f>
        <v>0</v>
      </c>
      <c r="V21" s="1652"/>
      <c r="W21" s="1257" t="str">
        <f>IF(N21=0,"",ROUNDUP(BF24/AX26,2))</f>
        <v/>
      </c>
      <c r="X21" s="1257" t="str">
        <f>IF(N21=0,"",ROUND(BG24/BE26,2))</f>
        <v/>
      </c>
      <c r="Y21" s="1257">
        <f>IF(K21=0,0,IF(AND(R21=0,V25=0),0,IF(R21=0,ROUNDUP(CF21/(AZ26*$J$181*$AR$10*X25/100),2),+BS22)))</f>
        <v>0</v>
      </c>
      <c r="Z21" s="1257" t="str">
        <f>IF(N21=0,"",ROUNDUP(BI24/AY26,2))</f>
        <v/>
      </c>
      <c r="AA21" s="1257" t="str">
        <f>IF(N21=0,"",ROUNDUP(BJ24/BE26,2))</f>
        <v/>
      </c>
      <c r="AB21" s="1257">
        <f>IF(K21=0,0,IF(AND(R21=0,V25=0),0,IF(R21=0,ROUNDUP(CG21/(BA26*$J$181*$AR$10*X25/100),2),+BT22)))</f>
        <v>0</v>
      </c>
      <c r="AC21" s="158"/>
      <c r="AD21" s="426"/>
      <c r="AE21" s="430"/>
      <c r="AF21" s="428"/>
      <c r="AG21" s="1253">
        <f>IF(AC21=0,0,ROUND(AC21*AD21+AE21*AF21+AC22*AD22+AE22*AF22,2))</f>
        <v>0</v>
      </c>
      <c r="AH21" s="1253" t="str">
        <f>IF(AD21=0,"",IF(AN21=1,AM21/(AR10*X25),AM21))</f>
        <v/>
      </c>
      <c r="AI21" s="1255" t="str">
        <f>IF(AH21=+"","",IF(AH21&lt;=1,"OK!","NO!"))</f>
        <v/>
      </c>
      <c r="AJ21" s="1695">
        <f>+IF(I25=0,0,"1/")</f>
        <v>0</v>
      </c>
      <c r="AK21" s="1696">
        <f>IF(I25=0,0,+BD26)</f>
        <v>0</v>
      </c>
      <c r="AL21" s="194"/>
      <c r="AM21" s="3" t="e">
        <f>+IF(BN24&gt;=BO24,BN24+CW23,BO24+CX23)</f>
        <v>#VALUE!</v>
      </c>
      <c r="AN21" s="3">
        <f>IF(P25=0,0,+VALUE(RIGHT(P25,4)))</f>
        <v>0</v>
      </c>
      <c r="AO21" s="515" t="s">
        <v>878</v>
      </c>
      <c r="AP21" s="3">
        <f>ROUND((G22+H22)/2,2)</f>
        <v>0</v>
      </c>
      <c r="AR21" s="349" t="s">
        <v>707</v>
      </c>
      <c r="AS21" s="349" t="s">
        <v>703</v>
      </c>
      <c r="AT21" s="520" t="s">
        <v>241</v>
      </c>
      <c r="AU21" s="17" t="s">
        <v>83</v>
      </c>
      <c r="AV21" s="63" t="e">
        <f t="shared" ref="AV21:BA21" si="2">ROUNDUP(BC21/3,-1)*3</f>
        <v>#DIV/0!</v>
      </c>
      <c r="AW21" s="63" t="e">
        <f t="shared" si="2"/>
        <v>#VALUE!</v>
      </c>
      <c r="AX21" s="63" t="e">
        <f t="shared" si="2"/>
        <v>#VALUE!</v>
      </c>
      <c r="AY21" s="63" t="e">
        <f t="shared" si="2"/>
        <v>#DIV/0!</v>
      </c>
      <c r="AZ21" s="63" t="e">
        <f t="shared" si="2"/>
        <v>#VALUE!</v>
      </c>
      <c r="BA21" s="63" t="e">
        <f t="shared" si="2"/>
        <v>#VALUE!</v>
      </c>
      <c r="BB21" s="155" t="e">
        <f>+MAX(AV21:BA21)</f>
        <v>#DIV/0!</v>
      </c>
      <c r="BC21" s="63" t="e">
        <f>ROUND(SQRT(ROUND(BI21/AX26*6/(L21/10)/IF(V21=0,1,V21),1))*10,0)</f>
        <v>#DIV/0!</v>
      </c>
      <c r="BD21" s="3" t="e">
        <f>POWER(ROUNDUP(BJ21/(L21/10)*12,0)/IF(V21=0,1,V21)/BE26,1/3)*10</f>
        <v>#VALUE!</v>
      </c>
      <c r="BE21" s="3" t="e">
        <f>POWER(ROUND(BK21/(L21/10)*12,0)/IF(V21=0,1,V21)/BE26,1/3)*10</f>
        <v>#VALUE!</v>
      </c>
      <c r="BF21" s="63" t="e">
        <f>ROUND(SQRT(ROUND(BL21/AY26*6/(L21/10)/IF(V21=0,1,V21),1))*10,2)</f>
        <v>#DIV/0!</v>
      </c>
      <c r="BG21" s="3" t="e">
        <f>POWER(ROUND(BM21/(L21/10)*12,0)/IF(V21=0,1,V21)/BE26,1/3)*10</f>
        <v>#VALUE!</v>
      </c>
      <c r="BH21" s="3" t="e">
        <f>POWER(ROUND(BN21/(L21/10)*12,0)/IF(V21=0,1,V21)/BE26,1/3)*10</f>
        <v>#VALUE!</v>
      </c>
      <c r="BI21" s="63" t="e">
        <f>ROUNDUP(AW24*AW23/AQ25*AR23,1)+BX24+CM24</f>
        <v>#DIV/0!</v>
      </c>
      <c r="BJ21" s="63" t="e">
        <f>AR23*AW23*SQRT(POWER(BA23-AY23,3))/(9*SQRT(3)*AS25*(AW23+AW24))+BY25+CO24</f>
        <v>#VALUE!</v>
      </c>
      <c r="BK21" s="63" t="e">
        <f>AR23*AW24*SQRT(POWER(BA23-AY24,3))/(9*SQRT(3)*AS25*(AW23+AW24))+BY25+CO24</f>
        <v>#VALUE!</v>
      </c>
      <c r="BL21" s="63" t="e">
        <f>ROUNDUP(AW24*AW23/AQ25*AS23,1)+BX24+CN24</f>
        <v>#DIV/0!</v>
      </c>
      <c r="BM21" s="63" t="e">
        <f>AS23*AW23*SQRT(POWER(BA23-AY23,3))/(9*SQRT(3)*AS25*(AW23+AW24))+BY25+CO24</f>
        <v>#VALUE!</v>
      </c>
      <c r="BN21" s="63" t="e">
        <f>AS23*AW24*SQRT(POWER(BA23-AY24,3))/(9*SQRT(3)*AS25*(AW23+AW24))+BY25+CP24</f>
        <v>#VALUE!</v>
      </c>
      <c r="BO21" s="9" t="e">
        <f>IF(AW24&gt;=AW23,ROUNDUP(AR23*AW24/AQ25/BB26,2),ROUNDUP(AR23*AW23/AQ25/BB26,2))</f>
        <v>#DIV/0!</v>
      </c>
      <c r="BP21" s="9" t="e">
        <f>IF(AW24&gt;=AW23,ROUNDUP(AS23*AW24/AQ25/BC26,2),ROUNDUP(AS23*AW23/AQ25/BC26,2))</f>
        <v>#VALUE!</v>
      </c>
      <c r="BQ21" s="23" t="e">
        <f>IF(BO21&gt;=BP21,BO21,BP21)</f>
        <v>#DIV/0!</v>
      </c>
      <c r="BR21" s="9">
        <f>IF(N21=0,0,ROUNDUP(SQRT((U21*L21/10*N21/10)/(R21*R21)),2))</f>
        <v>0</v>
      </c>
      <c r="BS21" s="805" t="s">
        <v>473</v>
      </c>
      <c r="BT21" s="63" t="s">
        <v>474</v>
      </c>
      <c r="BU21" s="63" t="s">
        <v>201</v>
      </c>
      <c r="BV21" s="63" t="s">
        <v>202</v>
      </c>
      <c r="BW21" s="3">
        <v>1</v>
      </c>
      <c r="BX21" s="3">
        <v>2</v>
      </c>
      <c r="BY21" s="3">
        <v>3</v>
      </c>
      <c r="BZ21" s="3">
        <v>4</v>
      </c>
      <c r="CA21" s="3">
        <v>5</v>
      </c>
      <c r="CB21" s="3">
        <v>6</v>
      </c>
      <c r="CF21" s="442" t="e">
        <f>ROUND(IF($AW24&gt;=$AW23,$AW24,$AW23)/$AQ25*$AR23,1)+BX25+CM25</f>
        <v>#DIV/0!</v>
      </c>
      <c r="CG21" s="442" t="e">
        <f>ROUND(IF($AW24&gt;=$AW23,$AW24,$AW23)/$AQ25*$AS23,1)+BX25+CN25</f>
        <v>#DIV/0!</v>
      </c>
      <c r="CH21" s="443" t="e">
        <f>+AV21+CF24</f>
        <v>#DIV/0!</v>
      </c>
      <c r="CI21" s="548" t="e">
        <f>+AW21+CG24</f>
        <v>#VALUE!</v>
      </c>
      <c r="CJ21" s="548" t="e">
        <f>+AY21+CF24</f>
        <v>#DIV/0!</v>
      </c>
      <c r="CK21" s="548" t="e">
        <f>+AZ21+CG24</f>
        <v>#VALUE!</v>
      </c>
      <c r="CL21" s="545" t="e">
        <f>MAX(CH21:CK21)</f>
        <v>#DIV/0!</v>
      </c>
      <c r="CM21" s="63" t="s">
        <v>201</v>
      </c>
      <c r="CN21" s="63" t="s">
        <v>202</v>
      </c>
      <c r="CQ21" s="412" t="s">
        <v>1013</v>
      </c>
      <c r="CR21" s="349" t="s">
        <v>1014</v>
      </c>
      <c r="CS21" s="412" t="s">
        <v>1015</v>
      </c>
      <c r="CT21" s="412" t="s">
        <v>1013</v>
      </c>
      <c r="CU21" s="349" t="s">
        <v>1014</v>
      </c>
      <c r="CV21" s="412" t="s">
        <v>1015</v>
      </c>
      <c r="CW21" s="3" t="s">
        <v>1223</v>
      </c>
      <c r="CX21" s="3" t="s">
        <v>1224</v>
      </c>
      <c r="CY21" s="1253">
        <f>IF(AND(R21=0,V25=0),0,IF(S21=0,J$181*AR10*X25/100,ROUND(POWER(R21*S21,2)/(L21/10*N21/10),2)))</f>
        <v>0</v>
      </c>
    </row>
    <row r="22" spans="2:103" x14ac:dyDescent="0.15">
      <c r="B22" s="1712"/>
      <c r="C22" s="1400"/>
      <c r="D22" s="330"/>
      <c r="E22" s="1357"/>
      <c r="F22" s="1166"/>
      <c r="G22" s="1028"/>
      <c r="H22" s="1028"/>
      <c r="I22" s="1028"/>
      <c r="J22" s="1028"/>
      <c r="K22" s="1672"/>
      <c r="L22" s="1653"/>
      <c r="M22" s="1289"/>
      <c r="N22" s="1258"/>
      <c r="O22" s="1392"/>
      <c r="P22" s="1392"/>
      <c r="Q22" s="1660"/>
      <c r="R22" s="1507"/>
      <c r="S22" s="1270"/>
      <c r="T22" s="1254"/>
      <c r="U22" s="1254"/>
      <c r="V22" s="1653"/>
      <c r="W22" s="1258"/>
      <c r="X22" s="1258"/>
      <c r="Y22" s="1254"/>
      <c r="Z22" s="1258"/>
      <c r="AA22" s="1258"/>
      <c r="AB22" s="1254"/>
      <c r="AC22" s="414"/>
      <c r="AD22" s="427"/>
      <c r="AE22" s="431"/>
      <c r="AF22" s="429"/>
      <c r="AG22" s="1254"/>
      <c r="AH22" s="1254"/>
      <c r="AI22" s="1256"/>
      <c r="AJ22" s="1284"/>
      <c r="AK22" s="1524"/>
      <c r="AL22" s="194"/>
      <c r="AO22" s="515" t="s">
        <v>879</v>
      </c>
      <c r="AP22" s="3">
        <f>ROUND((I22+J22)/2,2)</f>
        <v>0</v>
      </c>
      <c r="AQ22" s="479" t="s">
        <v>877</v>
      </c>
      <c r="AR22" s="632">
        <f>+準備!G57+AV26</f>
        <v>850</v>
      </c>
      <c r="AS22" s="632" t="e">
        <f>+準備!G57+AW26</f>
        <v>#VALUE!</v>
      </c>
      <c r="AT22" s="3">
        <f>+IF(OR(V22=0,V22=1),1,V22)</f>
        <v>1</v>
      </c>
      <c r="AU22" s="69">
        <f>ROUND(ATAN(E21/10)*180/PI(),4)</f>
        <v>0</v>
      </c>
      <c r="AV22" s="63" t="e">
        <f>IF(V22=0.8,VLOOKUP(BC22,$AR$398:$AS$443,2),IF(V22=0.9,VLOOKUP(BC22,$AR$351:$AS$396,2),VLOOKUP(BC22,$AR$304:$AS$349,2)))</f>
        <v>#DIV/0!</v>
      </c>
      <c r="AW22" s="63" t="e">
        <f>IF(V22=0.8,VLOOKUP(BD22,$AT$398:$AU$443,2),IF(V22=0.9,VLOOKUP(BD22,$AT$351:$AU$396,2),VLOOKUP(BD22,$AT$304:$AU$349,2)))</f>
        <v>#VALUE!</v>
      </c>
      <c r="AX22" s="63" t="e">
        <f>IF(V22=0.8,VLOOKUP(BE22,$AT$398:$AU$443,2),IF(V22=0.9,VLOOKUP(BE22,$AT$351:$AU$396,2),VLOOKUP(BE22,$AT$304:$AU$349,2)))</f>
        <v>#VALUE!</v>
      </c>
      <c r="AY22" s="63" t="e">
        <f>IF(V22=0.8,VLOOKUP(BF22,$AR$398:$AS$443,2),IF(V22=0.9,VLOOKUP(BF22,$AR$351:$AS$396,2),VLOOKUP(BF22,$AR$304:$AS$349,2)))</f>
        <v>#DIV/0!</v>
      </c>
      <c r="AZ22" s="63" t="e">
        <f>IF(V22=0.8,VLOOKUP(BG22,$AT$398:$AU$443,2),IF(V22=0.9,VLOOKUP(BG22,$AT$351:$AU$396,2),VLOOKUP(BG22,$AT$304:$AU$349,2)))</f>
        <v>#VALUE!</v>
      </c>
      <c r="BA22" s="63" t="e">
        <f>IF(V22=0.8,VLOOKUP(BH22,$AT$398:$AU$443,2),IF(V22=0.9,VLOOKUP(BH22,$AT$351:$AU$396,2),VLOOKUP(BH22,$AT$304:$AU$349,2)))</f>
        <v>#VALUE!</v>
      </c>
      <c r="BB22" s="155" t="e">
        <f>+MAX(AV22:BA22)</f>
        <v>#DIV/0!</v>
      </c>
      <c r="BC22" s="63" t="e">
        <f>ROUNDUP(BI22/AX26/IF(V22=0,1,V22),1)</f>
        <v>#DIV/0!</v>
      </c>
      <c r="BD22" s="63" t="e">
        <f>ROUNDUP(AR23*AW23*BE23/(9*SQRT(3)*AS25*AQ25*BE26)/AT22,2)</f>
        <v>#VALUE!</v>
      </c>
      <c r="BE22" s="63" t="e">
        <f>ROUNDUP(AR23*AW23*BE23/(9*SQRT(3)*AS25*AQ25*BE26)/AT22,2)</f>
        <v>#VALUE!</v>
      </c>
      <c r="BF22" s="63" t="e">
        <f>ROUNDUP(BL22/AY26/IF(V22=0,1,V22),1)</f>
        <v>#DIV/0!</v>
      </c>
      <c r="BG22" s="63" t="e">
        <f>ROUNDUP(AS23*AW23*BE23/(9*SQRT(3)*AS25*AQ25*BE26)/AT22,2)</f>
        <v>#VALUE!</v>
      </c>
      <c r="BH22" s="63" t="e">
        <f>ROUNDUP(AS23*AW24*BE23/(9*SQRT(3)*AS25*AQ25*BE26)/AT22,2)</f>
        <v>#VALUE!</v>
      </c>
      <c r="BI22" s="63" t="e">
        <f>ROUNDUP(AW23*AW24/AQ25*AR23,1)+BX24+CM24</f>
        <v>#DIV/0!</v>
      </c>
      <c r="BJ22" s="63" t="e">
        <f>+BJ21</f>
        <v>#VALUE!</v>
      </c>
      <c r="BK22" s="63" t="e">
        <f>+BK21</f>
        <v>#VALUE!</v>
      </c>
      <c r="BL22" s="63" t="e">
        <f>+BL21</f>
        <v>#DIV/0!</v>
      </c>
      <c r="BM22" s="63" t="e">
        <f>+BM21</f>
        <v>#VALUE!</v>
      </c>
      <c r="BN22" s="63" t="e">
        <f>+BN21</f>
        <v>#VALUE!</v>
      </c>
      <c r="BO22" s="9" t="e">
        <f>IF(AW24&gt;=AW23,ROUNDUP(AR23*AW24/AQ25/BB26,2),ROUNDUP(AR23*AW23/AQ25/BB26,2))</f>
        <v>#DIV/0!</v>
      </c>
      <c r="BP22" s="9" t="e">
        <f>IF(AW24&gt;=AW23,ROUNDUP(AS23*AW24/AQ25/BC26,2),ROUNDUP(AS23*AW23/AQ25/BC26,2))</f>
        <v>#VALUE!</v>
      </c>
      <c r="BQ22" s="23" t="e">
        <f>IF(BO22&gt;=BP22,BO22,BP22)</f>
        <v>#DIV/0!</v>
      </c>
      <c r="BR22" s="9">
        <f>IF(N22=0,0,ROUNDUP(SQRT(IF(Q22=0,(U22*(N22/10-5)*(N22/10-3)),(U22*(Q22/10-5)*(Q22/10-3)))/(R22*R22)),2))</f>
        <v>0</v>
      </c>
      <c r="BS22" s="63" t="str">
        <f>IF(N21=0,"",ROUND(CF21/(AZ26*T21),2))</f>
        <v/>
      </c>
      <c r="BT22" s="63" t="str">
        <f>IF(N21=0,"",ROUND(CG21/(BA26*T21),1))</f>
        <v/>
      </c>
      <c r="BU22" s="805" t="s">
        <v>269</v>
      </c>
      <c r="BV22" s="805" t="s">
        <v>269</v>
      </c>
      <c r="BW22" s="632">
        <f>+準備!$G$20/100</f>
        <v>4.5</v>
      </c>
      <c r="BX22" s="632">
        <f>+準備!$G$24/100</f>
        <v>11</v>
      </c>
      <c r="BY22" s="632">
        <f>+準備!$G$28/100</f>
        <v>14</v>
      </c>
      <c r="BZ22" s="632">
        <f>+準備!$G$32/100</f>
        <v>17.5</v>
      </c>
      <c r="CA22" s="632">
        <f>+準備!$G$36/100</f>
        <v>17.5</v>
      </c>
      <c r="CB22" s="632">
        <f>+準備!$G$38/100</f>
        <v>4</v>
      </c>
      <c r="CF22" s="548" t="e">
        <f>+IF($AW24&gt;=$AW23,$AW24*$AR23/($K25*100)+BX25,$AW23*$AR23/($K25*100)+BX25+CM25)</f>
        <v>#DIV/0!</v>
      </c>
      <c r="CG22" s="548" t="e">
        <f>+IF($AW24&gt;=$AW23,$AW24*$AS23/($K25*100)+BX25,$AW23*$AS23/($K25*100)+BX25+CN25)</f>
        <v>#VALUE!</v>
      </c>
      <c r="CH22" s="548" t="e">
        <f>+AV22+CF24</f>
        <v>#DIV/0!</v>
      </c>
      <c r="CI22" s="548" t="e">
        <f>+AW22+CG24</f>
        <v>#VALUE!</v>
      </c>
      <c r="CJ22" s="548" t="e">
        <f>+AY22+CF24</f>
        <v>#DIV/0!</v>
      </c>
      <c r="CK22" s="548" t="e">
        <f>+AZ22+CG24</f>
        <v>#VALUE!</v>
      </c>
      <c r="CL22" s="545" t="e">
        <f>MAX(CH22:CK22)</f>
        <v>#DIV/0!</v>
      </c>
      <c r="CM22" s="805" t="s">
        <v>269</v>
      </c>
      <c r="CN22" s="805" t="s">
        <v>269</v>
      </c>
      <c r="CO22" s="3" t="s">
        <v>189</v>
      </c>
      <c r="CQ22" s="3" t="e">
        <f>IF($BX24=0,0,ROUND(($BX24+$CM24)/$CA25,1))</f>
        <v>#N/A</v>
      </c>
      <c r="CR22" s="3" t="e">
        <f>IF($BY25=0,0,ROUND(($BY25+$CO24)/$CC25,2))</f>
        <v>#N/A</v>
      </c>
      <c r="CS22" s="3" t="e">
        <f>IF($BX25=0,0,ROUND(($BX25+$CM25)/$T21,1))</f>
        <v>#N/A</v>
      </c>
      <c r="CT22" s="3" t="e">
        <f>IF($BX24=0,0,ROUND(($BX24+$CN24)/$CA25,1))</f>
        <v>#N/A</v>
      </c>
      <c r="CU22" s="3" t="e">
        <f>IF($BY25=0,0,ROUND(($BY25+$CP24)/$CC25,2))</f>
        <v>#N/A</v>
      </c>
      <c r="CV22" s="3" t="e">
        <f>IF($BX25=0,0,ROUND(($BX25+$CN25)/$T21,1))</f>
        <v>#N/A</v>
      </c>
      <c r="CW22" s="3" t="e">
        <f>ROUND(VLOOKUP(VALUE(RIGHT($K21,4)),許容応力!$B$6:$K$22,9)*1.1/3*100,0)</f>
        <v>#VALUE!</v>
      </c>
      <c r="CX22" s="3" t="e">
        <f>ROUND(VLOOKUP(VALUE(RIGHT($K21,4)),許容応力!$B$6:$K$22,9)*2/3*0.8*100,0)</f>
        <v>#VALUE!</v>
      </c>
      <c r="CY22" s="1272"/>
    </row>
    <row r="23" spans="2:103" ht="14.25" customHeight="1" x14ac:dyDescent="0.15">
      <c r="B23" s="1712"/>
      <c r="C23" s="1217" t="s">
        <v>980</v>
      </c>
      <c r="D23" s="1403" t="s">
        <v>961</v>
      </c>
      <c r="E23" s="1404"/>
      <c r="F23" s="1407" t="s">
        <v>964</v>
      </c>
      <c r="G23" s="1408"/>
      <c r="H23" s="1239" t="s">
        <v>970</v>
      </c>
      <c r="I23" s="1215" t="s">
        <v>967</v>
      </c>
      <c r="J23" s="1397"/>
      <c r="K23" s="461"/>
      <c r="L23" s="451"/>
      <c r="M23" s="450"/>
      <c r="N23" s="451"/>
      <c r="O23" s="450"/>
      <c r="P23" s="451"/>
      <c r="Q23" s="878"/>
      <c r="R23" s="1307" t="s">
        <v>1154</v>
      </c>
      <c r="S23" s="1308"/>
      <c r="T23" s="1308"/>
      <c r="U23" s="1308"/>
      <c r="V23" s="1308"/>
      <c r="W23" s="1308"/>
      <c r="X23" s="1621"/>
      <c r="Y23" s="453"/>
      <c r="Z23" s="453"/>
      <c r="AA23" s="453"/>
      <c r="AB23" s="453"/>
      <c r="AC23" s="462"/>
      <c r="AD23" s="452"/>
      <c r="AE23" s="451"/>
      <c r="AF23" s="453"/>
      <c r="AG23" s="452"/>
      <c r="AH23" s="452"/>
      <c r="AI23" s="450"/>
      <c r="AJ23" s="454"/>
      <c r="AK23" s="455"/>
      <c r="AL23" s="194"/>
      <c r="AO23" s="637" t="s">
        <v>958</v>
      </c>
      <c r="AQ23" s="638" t="s">
        <v>994</v>
      </c>
      <c r="AR23" s="3">
        <f>ROUND(AR22*AP21*AP22,0)</f>
        <v>0</v>
      </c>
      <c r="AS23" s="3" t="e">
        <f>ROUND(AS22*AP21*AP22,0)</f>
        <v>#VALUE!</v>
      </c>
      <c r="AT23" s="639" t="e">
        <f>+VALUE(RIGHT(K21,4))</f>
        <v>#VALUE!</v>
      </c>
      <c r="AU23" s="639" t="e">
        <f>+VLOOKUP(VALUE(RIGHT(K21,4)),$G$387:$J$397,3)</f>
        <v>#VALUE!</v>
      </c>
      <c r="AV23" s="377" t="s">
        <v>986</v>
      </c>
      <c r="AW23" s="640">
        <f>+J25*100</f>
        <v>0</v>
      </c>
      <c r="AX23" s="3" t="s">
        <v>988</v>
      </c>
      <c r="AY23" s="3">
        <f>+POWER(AW23,2)</f>
        <v>0</v>
      </c>
      <c r="AZ23" s="3" t="s">
        <v>990</v>
      </c>
      <c r="BA23" s="3">
        <f>+POWER(AQ25,2)</f>
        <v>0</v>
      </c>
      <c r="BB23" s="3" t="s">
        <v>999</v>
      </c>
      <c r="BC23" s="3">
        <f>+BA23-AY23</f>
        <v>0</v>
      </c>
      <c r="BD23" s="3" t="s">
        <v>992</v>
      </c>
      <c r="BE23" s="3">
        <f>SQRT(+POWER(BC23,3))</f>
        <v>0</v>
      </c>
      <c r="BF23" s="52" t="s">
        <v>287</v>
      </c>
      <c r="BG23" s="805" t="s">
        <v>288</v>
      </c>
      <c r="BH23" s="52" t="s">
        <v>490</v>
      </c>
      <c r="BI23" s="52" t="s">
        <v>289</v>
      </c>
      <c r="BJ23" s="805" t="s">
        <v>290</v>
      </c>
      <c r="BK23" s="52" t="s">
        <v>493</v>
      </c>
      <c r="BL23" s="805" t="s">
        <v>291</v>
      </c>
      <c r="BM23" s="805" t="s">
        <v>292</v>
      </c>
      <c r="BN23" s="412" t="s">
        <v>1020</v>
      </c>
      <c r="BO23" s="412" t="s">
        <v>1021</v>
      </c>
      <c r="BS23" s="63" t="str">
        <f>+BS22</f>
        <v/>
      </c>
      <c r="BT23" s="63" t="str">
        <f>+BT22</f>
        <v/>
      </c>
      <c r="BU23" s="87" t="e">
        <f>IF(OR(BR24=0,BR24=1),0,ROUNDUP((準備!$G$60/100+準備!$D$48/100)*((F25+G25)/2*100)/200,2))</f>
        <v>#N/A</v>
      </c>
      <c r="BV23" s="87" t="e">
        <f>+BU23</f>
        <v>#N/A</v>
      </c>
      <c r="BW23" s="3">
        <f t="shared" ref="BW23:CB23" si="3">ROUND(BW22*$I26,2)</f>
        <v>0</v>
      </c>
      <c r="BX23" s="3">
        <f t="shared" si="3"/>
        <v>0</v>
      </c>
      <c r="BY23" s="3">
        <f t="shared" si="3"/>
        <v>0</v>
      </c>
      <c r="BZ23" s="3">
        <f t="shared" si="3"/>
        <v>0</v>
      </c>
      <c r="CA23" s="3">
        <f t="shared" si="3"/>
        <v>0</v>
      </c>
      <c r="CB23" s="3">
        <f t="shared" si="3"/>
        <v>0</v>
      </c>
      <c r="CF23" s="412" t="s">
        <v>1065</v>
      </c>
      <c r="CG23" s="349" t="s">
        <v>1066</v>
      </c>
      <c r="CH23" s="412" t="s">
        <v>1067</v>
      </c>
      <c r="CM23" s="87">
        <f>IF(OR($BR24=0,$BR24=1),0,ROUND((準備!$G$6+$AV26)*$G25/200,2))</f>
        <v>0</v>
      </c>
      <c r="CN23" s="87" t="e">
        <f>IF(OR($BR24=0,$BR24=1),0,ROUND((準備!$G$6+$AW26)*$G25/200,2))</f>
        <v>#VALUE!</v>
      </c>
      <c r="CO23" s="3" t="s">
        <v>168</v>
      </c>
      <c r="CP23" s="3" t="s">
        <v>203</v>
      </c>
      <c r="CQ23" s="412" t="s">
        <v>1065</v>
      </c>
      <c r="CR23" s="349" t="s">
        <v>1066</v>
      </c>
      <c r="CS23" s="412" t="s">
        <v>1067</v>
      </c>
      <c r="CT23" s="412" t="s">
        <v>1065</v>
      </c>
      <c r="CU23" s="349" t="s">
        <v>1066</v>
      </c>
      <c r="CV23" s="412" t="s">
        <v>1067</v>
      </c>
      <c r="CW23" s="3" t="e">
        <f>ROUND($CM$17*K25*100/2/CW22/AG21,2)</f>
        <v>#VALUE!</v>
      </c>
      <c r="CX23" s="3" t="e">
        <f>ROUND(CN23*K25*100/2/CX22/AG21,2)</f>
        <v>#VALUE!</v>
      </c>
    </row>
    <row r="24" spans="2:103" x14ac:dyDescent="0.15">
      <c r="B24" s="1712"/>
      <c r="C24" s="1402"/>
      <c r="D24" s="1405"/>
      <c r="E24" s="1406"/>
      <c r="F24" s="411" t="s">
        <v>971</v>
      </c>
      <c r="G24" s="587" t="s">
        <v>1071</v>
      </c>
      <c r="H24" s="1409"/>
      <c r="I24" s="586" t="s">
        <v>981</v>
      </c>
      <c r="J24" s="592" t="s">
        <v>982</v>
      </c>
      <c r="K24" s="440" t="s">
        <v>1011</v>
      </c>
      <c r="L24" s="592" t="s">
        <v>1071</v>
      </c>
      <c r="M24" s="456" t="s">
        <v>1072</v>
      </c>
      <c r="N24" s="457"/>
      <c r="O24" s="876"/>
      <c r="P24" s="1342"/>
      <c r="Q24" s="1406"/>
      <c r="R24" s="877" t="s">
        <v>1265</v>
      </c>
      <c r="S24" s="877" t="s">
        <v>1266</v>
      </c>
      <c r="T24" s="877" t="s">
        <v>1267</v>
      </c>
      <c r="U24" s="877" t="s">
        <v>1260</v>
      </c>
      <c r="V24" s="877" t="s">
        <v>1268</v>
      </c>
      <c r="W24" s="440" t="s">
        <v>1151</v>
      </c>
      <c r="X24" s="440" t="s">
        <v>1153</v>
      </c>
      <c r="Y24" s="324"/>
      <c r="Z24" s="324"/>
      <c r="AA24" s="324"/>
      <c r="AB24" s="324"/>
      <c r="AC24" s="463"/>
      <c r="AD24" s="325"/>
      <c r="AE24" s="302"/>
      <c r="AF24" s="324"/>
      <c r="AG24" s="325"/>
      <c r="AH24" s="325"/>
      <c r="AI24" s="594"/>
      <c r="AJ24" s="420"/>
      <c r="AK24" s="421"/>
      <c r="AL24" s="194"/>
      <c r="AP24" s="3" t="s">
        <v>790</v>
      </c>
      <c r="AQ24" s="3">
        <f>+L21</f>
        <v>0</v>
      </c>
      <c r="AR24" s="3" t="s">
        <v>985</v>
      </c>
      <c r="AS24" s="3">
        <f>+N21</f>
        <v>0</v>
      </c>
      <c r="AT24" s="3" t="s">
        <v>15</v>
      </c>
      <c r="AU24" s="3" t="e">
        <f>+VALUE(RIGHT(K21,4))</f>
        <v>#VALUE!</v>
      </c>
      <c r="AV24" s="377" t="s">
        <v>987</v>
      </c>
      <c r="AW24" s="640">
        <f>+I25*100</f>
        <v>0</v>
      </c>
      <c r="AX24" s="3" t="s">
        <v>989</v>
      </c>
      <c r="AY24" s="3">
        <f>+POWER(AW24,2)</f>
        <v>0</v>
      </c>
      <c r="AZ24" s="409">
        <f>+VALUE(RIGHT($G$10,3))</f>
        <v>2</v>
      </c>
      <c r="BB24" s="3" t="s">
        <v>991</v>
      </c>
      <c r="BC24" s="3">
        <f>+BA23-AY24</f>
        <v>0</v>
      </c>
      <c r="BD24" s="3" t="s">
        <v>993</v>
      </c>
      <c r="BE24" s="3">
        <f>SQRT(+POWER(BC24,3))</f>
        <v>0</v>
      </c>
      <c r="BF24" s="3" t="e">
        <f>ROUND((BI21)/BL24,1)</f>
        <v>#DIV/0!</v>
      </c>
      <c r="BG24" s="3" t="e">
        <f>+IF(AW24&gt;=AW23,BJ21/AU25,BK21/AU25)</f>
        <v>#VALUE!</v>
      </c>
      <c r="BH24" s="63" t="e">
        <f>+CF21/AZ26</f>
        <v>#DIV/0!</v>
      </c>
      <c r="BI24" s="3" t="e">
        <f>ROUND(BL21/BL24,1)</f>
        <v>#DIV/0!</v>
      </c>
      <c r="BJ24" s="3" t="e">
        <f>+IF(AW24&gt;=AW23,BM21/AU25,BN21/AU25)</f>
        <v>#VALUE!</v>
      </c>
      <c r="BK24" s="63" t="e">
        <f>+CG21/BA26</f>
        <v>#DIV/0!</v>
      </c>
      <c r="BL24" s="63">
        <f>ROUNDDOWN(L21/10*POWER(N21/10,2)/6*IF(OR(V21=0,V21=1),1,V21),0)</f>
        <v>0</v>
      </c>
      <c r="BM24" s="63">
        <f>ROUNDDOWN(L21/10*POWER(N21/10,3)/12*IF(OR(V21=0,V21=1),1,V21),0)</f>
        <v>0</v>
      </c>
      <c r="BN24" s="63" t="str">
        <f>IF(N21=0,"",IF(AW24&gt;=AW23,ROUND(AR23*AW24/AQ25/AG21/BB26,2),ROUNDUP(AR23*AW23/AQ25/AG21/BB26,2)))</f>
        <v/>
      </c>
      <c r="BO24" s="63" t="str">
        <f>IF(N21=0,"",IF(AW24&gt;=AW23,ROUND(AS23*AW24/AQ25/AG21/BC26,2),ROUNDUP(AS23*AW23/AQ25/AG21/BC26,2)))</f>
        <v/>
      </c>
      <c r="BQ24" s="3" t="s">
        <v>1012</v>
      </c>
      <c r="BR24" s="3">
        <f>IF(D23=0,0,+VALUE(RIGHT(D23,4)))</f>
        <v>2</v>
      </c>
      <c r="BS24" s="3" t="s">
        <v>1003</v>
      </c>
      <c r="BT24" s="3">
        <f>IF(G26=0,0,+VALUE(RIGHT(G26,4)))</f>
        <v>0</v>
      </c>
      <c r="BU24" s="3">
        <f>IF(OR(BR25=0,BR25=2),0,HLOOKUP(BT24,BW21:CB23,3))</f>
        <v>0</v>
      </c>
      <c r="BV24" s="3">
        <f>+BU24</f>
        <v>0</v>
      </c>
      <c r="BW24" s="3" t="s">
        <v>1019</v>
      </c>
      <c r="BX24" s="3" t="e">
        <f>BU25*POWER(AQ25,2)/8</f>
        <v>#N/A</v>
      </c>
      <c r="BY24" s="3" t="s">
        <v>189</v>
      </c>
      <c r="BZ24" s="3" t="s">
        <v>782</v>
      </c>
      <c r="CA24" s="3" t="e">
        <f>ROUNDUP(+SQRT((BX24+CM24)*6/(AX26*L21/10)),0)</f>
        <v>#N/A</v>
      </c>
      <c r="CF24" s="3" t="e">
        <f>+ROUNDUP(CQ24/3,-1)*3</f>
        <v>#N/A</v>
      </c>
      <c r="CG24" s="3" t="e">
        <f>ROUNDUP(CR24/3,-1)*3</f>
        <v>#N/A</v>
      </c>
      <c r="CH24" s="3" t="e">
        <f>ROUNDUP(CS24/3,-1)*3</f>
        <v>#N/A</v>
      </c>
      <c r="CL24" s="3" t="s">
        <v>1019</v>
      </c>
      <c r="CM24" s="3">
        <f>+CM23*POWER(K25*100,2)/8</f>
        <v>0</v>
      </c>
      <c r="CN24" s="3" t="e">
        <f>+CN23*POWER(K25*100,2)/8</f>
        <v>#VALUE!</v>
      </c>
      <c r="CO24" s="3" t="e">
        <f>5*CM23*POWER(AQ25,4)/(384*AS25)</f>
        <v>#VALUE!</v>
      </c>
      <c r="CP24" s="3" t="e">
        <f>5*CN23*POWER(AQ25,4)/(384*AS25)</f>
        <v>#VALUE!</v>
      </c>
      <c r="CQ24" s="3" t="e">
        <f>+CQ22/AX26</f>
        <v>#N/A</v>
      </c>
      <c r="CR24" s="3" t="e">
        <f>+CR22/BE26</f>
        <v>#N/A</v>
      </c>
      <c r="CS24" s="3" t="e">
        <f>+CS22/AZ26</f>
        <v>#N/A</v>
      </c>
      <c r="CT24" s="3" t="e">
        <f>+CT22/AX26</f>
        <v>#N/A</v>
      </c>
      <c r="CU24" s="3" t="e">
        <f>+CU22/BE26</f>
        <v>#N/A</v>
      </c>
      <c r="CV24" s="3" t="e">
        <f>+CV22/AZ26</f>
        <v>#N/A</v>
      </c>
    </row>
    <row r="25" spans="2:103" x14ac:dyDescent="0.15">
      <c r="B25" s="1712"/>
      <c r="C25" s="1219"/>
      <c r="D25" s="1322"/>
      <c r="E25" s="1211"/>
      <c r="F25" s="1031"/>
      <c r="G25" s="1031"/>
      <c r="H25" s="1410"/>
      <c r="I25" s="1031"/>
      <c r="J25" s="413"/>
      <c r="K25" s="464">
        <f>+I25+J25</f>
        <v>0</v>
      </c>
      <c r="L25" s="302"/>
      <c r="M25" s="594"/>
      <c r="N25" s="302"/>
      <c r="O25" s="594"/>
      <c r="P25" s="1382"/>
      <c r="Q25" s="1406"/>
      <c r="R25" s="1029"/>
      <c r="S25" s="1029"/>
      <c r="T25" s="882">
        <f>+IF(S25=0,0,6)</f>
        <v>0</v>
      </c>
      <c r="U25" s="1029"/>
      <c r="V25" s="1029"/>
      <c r="W25" s="1018">
        <f>IF(V25=0,0,+$J$170)</f>
        <v>0</v>
      </c>
      <c r="X25" s="574">
        <f>IF(V25=0,0,+VLOOKUP(W25,$I$189:$J$194,2))</f>
        <v>0</v>
      </c>
      <c r="Y25" s="324"/>
      <c r="Z25" s="324"/>
      <c r="AA25" s="324"/>
      <c r="AB25" s="324"/>
      <c r="AC25" s="463"/>
      <c r="AD25" s="325"/>
      <c r="AE25" s="302"/>
      <c r="AF25" s="324"/>
      <c r="AG25" s="325"/>
      <c r="AH25" s="325"/>
      <c r="AI25" s="594"/>
      <c r="AJ25" s="420"/>
      <c r="AK25" s="421"/>
      <c r="AL25" s="194"/>
      <c r="AP25" s="3" t="s">
        <v>983</v>
      </c>
      <c r="AQ25" s="641">
        <f>(+I25+J25)*100</f>
        <v>0</v>
      </c>
      <c r="AR25" s="615" t="s">
        <v>880</v>
      </c>
      <c r="AS25" s="642" t="e">
        <f>+VLOOKUP(VALUE(RIGHT(K21,4)),許容応力!$B$6:$K$22,10)*100</f>
        <v>#VALUE!</v>
      </c>
      <c r="AT25" s="615" t="s">
        <v>881</v>
      </c>
      <c r="AU25" s="520">
        <f>+BM24</f>
        <v>0</v>
      </c>
      <c r="AV25" s="18" t="s">
        <v>209</v>
      </c>
      <c r="AW25" s="18" t="s">
        <v>210</v>
      </c>
      <c r="AX25" s="3" t="s">
        <v>997</v>
      </c>
      <c r="AY25" s="3" t="s">
        <v>294</v>
      </c>
      <c r="AZ25" s="52" t="s">
        <v>498</v>
      </c>
      <c r="BA25" s="52" t="s">
        <v>499</v>
      </c>
      <c r="BB25" s="52" t="s">
        <v>500</v>
      </c>
      <c r="BC25" s="52" t="s">
        <v>501</v>
      </c>
      <c r="BD25" s="805" t="s">
        <v>295</v>
      </c>
      <c r="BE25" s="805" t="s">
        <v>296</v>
      </c>
      <c r="BF25" s="3" t="e">
        <f>ROUND(BI22/BL25,1)</f>
        <v>#DIV/0!</v>
      </c>
      <c r="BG25" s="3" t="e">
        <f>+IF(AW24&gt;=AW23,BJ22/AU26,BK22/AU26)</f>
        <v>#VALUE!</v>
      </c>
      <c r="BH25" s="63" t="e">
        <f>+BH24</f>
        <v>#DIV/0!</v>
      </c>
      <c r="BI25" s="3" t="e">
        <f>ROUND(BL22/BL25,1)</f>
        <v>#DIV/0!</v>
      </c>
      <c r="BJ25" s="3" t="e">
        <f>+IF(AW24&gt;=AW23,BM22/AU26,BN22/AU26)</f>
        <v>#VALUE!</v>
      </c>
      <c r="BK25" s="63" t="e">
        <f>+BK24</f>
        <v>#DIV/0!</v>
      </c>
      <c r="BL25" s="63">
        <f>IF(N22&lt;180,ROUND((N22/10-3)*POWER($N22/10-3,2)/6*IF(V22=0,1,V22),0),ROUND((N22/10-5)*POWER(N22/10-3,2)/6*IF($V22=0,1,$V22),0))</f>
        <v>-5</v>
      </c>
      <c r="BM25" s="63">
        <f>ROUND(IF(N22&lt;180,(N22/10-3)*POWER((N22/10-3),3)/12*IF(V22=0,1,V22),(N22/10-5))*POWER((N22/10-3),3)/12*IF(V22=0,1,V22),0)</f>
        <v>-15</v>
      </c>
      <c r="BN25" s="63" t="str">
        <f>IF(N22=0,"",IF(AW24&gt;=AW23,ROUND(AR23*AW24/AQ25/AG22/BB26,2),ROUNDUP(AR23*AW24/AQ25/AG22/BB26,2)))</f>
        <v/>
      </c>
      <c r="BO25" s="63" t="str">
        <f>IF(N21=0,"",IF(AW24&gt;=AW23,ROUND(AS23*AW24/AQ25/AG22/BC26,2),ROUNDUP(AS23*AW23/AQ25/AG22/BC26,2)))</f>
        <v/>
      </c>
      <c r="BQ25" s="3" t="s">
        <v>1002</v>
      </c>
      <c r="BR25" s="3">
        <f>IF(E26=0,0,+VALUE(RIGHT(E26,4)))</f>
        <v>0</v>
      </c>
      <c r="BT25" s="3" t="s">
        <v>1011</v>
      </c>
      <c r="BU25" s="3" t="e">
        <f>+BU23+BU24</f>
        <v>#N/A</v>
      </c>
      <c r="BV25" s="3" t="e">
        <f>+BV23+BV24</f>
        <v>#N/A</v>
      </c>
      <c r="BW25" s="3" t="s">
        <v>1018</v>
      </c>
      <c r="BX25" s="3" t="e">
        <f>+BU25*AQ25/2</f>
        <v>#N/A</v>
      </c>
      <c r="BY25" s="3" t="e">
        <f>5*BU25*POWER(AQ25,4)/(384*AS25)</f>
        <v>#N/A</v>
      </c>
      <c r="BZ25" s="805" t="s">
        <v>291</v>
      </c>
      <c r="CA25" s="3" t="e">
        <f>ROUND(L21/10*POWER(CA24,2)/6,0)</f>
        <v>#N/A</v>
      </c>
      <c r="CB25" s="805" t="s">
        <v>292</v>
      </c>
      <c r="CC25" s="3" t="e">
        <f>ROUND(L21/10*POWER(CA24,3)/12,0)</f>
        <v>#N/A</v>
      </c>
      <c r="CL25" s="3" t="s">
        <v>1018</v>
      </c>
      <c r="CM25" s="3">
        <f>+CM23*K25*100/2</f>
        <v>0</v>
      </c>
      <c r="CN25" s="3" t="e">
        <f>+CN23*K25*100/2</f>
        <v>#VALUE!</v>
      </c>
    </row>
    <row r="26" spans="2:103" ht="15" thickBot="1" x14ac:dyDescent="0.2">
      <c r="B26" s="1713"/>
      <c r="C26" s="1411" t="s">
        <v>1002</v>
      </c>
      <c r="D26" s="1412"/>
      <c r="E26" s="1150"/>
      <c r="F26" s="465" t="s">
        <v>1003</v>
      </c>
      <c r="G26" s="1136"/>
      <c r="H26" s="459" t="s">
        <v>1004</v>
      </c>
      <c r="I26" s="460"/>
      <c r="J26" s="466"/>
      <c r="K26" s="580"/>
      <c r="L26" s="1275"/>
      <c r="M26" s="1275"/>
      <c r="N26" s="225"/>
      <c r="O26" s="593"/>
      <c r="P26" s="593"/>
      <c r="Q26" s="593"/>
      <c r="R26" s="467"/>
      <c r="S26" s="422"/>
      <c r="T26" s="422"/>
      <c r="U26" s="423"/>
      <c r="V26" s="468"/>
      <c r="W26" s="1024">
        <f>IF(V26=0,0,+$J$169)</f>
        <v>0</v>
      </c>
      <c r="X26" s="423"/>
      <c r="Y26" s="423"/>
      <c r="Z26" s="423"/>
      <c r="AA26" s="423"/>
      <c r="AB26" s="423"/>
      <c r="AC26" s="467"/>
      <c r="AD26" s="422"/>
      <c r="AE26" s="225"/>
      <c r="AF26" s="423"/>
      <c r="AG26" s="422"/>
      <c r="AH26" s="422"/>
      <c r="AI26" s="593"/>
      <c r="AJ26" s="424"/>
      <c r="AK26" s="425"/>
      <c r="AL26" s="194"/>
      <c r="AP26" s="515" t="s">
        <v>984</v>
      </c>
      <c r="AQ26" s="3">
        <f>IF(F25=0,1,ROUND((F25+G25)/2,2))</f>
        <v>1</v>
      </c>
      <c r="AT26" s="615" t="s">
        <v>881</v>
      </c>
      <c r="AU26" s="3">
        <f>+BM25</f>
        <v>-15</v>
      </c>
      <c r="AV26" s="63">
        <f>ROUNDUP(IF(VALUE(RIGHT($G$10,3))=1,AW26*0.7,0),0)</f>
        <v>0</v>
      </c>
      <c r="AW26" s="63" t="e">
        <f>ROUNDUP(IF(VALUE(RIGHT($G$10,4))=1,$M$10*30*F21*100,$M$10*20*F21*100),0)</f>
        <v>#VALUE!</v>
      </c>
      <c r="AX26" s="10" t="e">
        <f>IF(AZ24=2,ROUND(VLOOKUP(AU24,許容応力!$B$6:$K$22,7)*1.1/3*100,0),ROUND(VLOOKUP(AU24,許容応力!$B$6:$K$22,7)*1.1/3*1.3*100,0))</f>
        <v>#VALUE!</v>
      </c>
      <c r="AY26" s="63" t="e">
        <f>ROUND(VLOOKUP(AU24,許容応力!$B$6:$K$22,7)*100*2/3*0.8,0)</f>
        <v>#VALUE!</v>
      </c>
      <c r="AZ26" s="10" t="e">
        <f>IF(AZ24=2,ROUND(VLOOKUP(AU24,許容応力!$B$6:$K$22,8)*1.1/3*100,0),ROUND(VLOOKUP(AU24,許容応力!$B$6:$K$22,8)*1.1/3*1.3*100,0))</f>
        <v>#VALUE!</v>
      </c>
      <c r="BA26" s="63" t="e">
        <f>ROUND(VLOOKUP(AU24,許容応力!$B$6:$K$22,8)*100*2/3*0.8,0)</f>
        <v>#VALUE!</v>
      </c>
      <c r="BB26" s="10" t="e">
        <f>IF(AZ24=2,ROUND(VLOOKUP(AU24,許容応力!$B$6:$K$22,9)*1.1/3*100,0),ROUND(VLOOKUP(AU24,許容応力!$B$6:$K$22,9)*1.1/3*1.3*100,0))</f>
        <v>#VALUE!</v>
      </c>
      <c r="BC26" s="63" t="e">
        <f>ROUND(VLOOKUP(AU24,許容応力!$B$6:$K$22,9)*100*2/3*0.8,0)</f>
        <v>#VALUE!</v>
      </c>
      <c r="BD26" s="63">
        <f>IF(AZ24=2,400,200)</f>
        <v>400</v>
      </c>
      <c r="BE26" s="63">
        <f>ROUND(AQ25/BD26,2)</f>
        <v>0</v>
      </c>
    </row>
    <row r="27" spans="2:103" x14ac:dyDescent="0.15">
      <c r="B27" s="1711" t="s">
        <v>1073</v>
      </c>
      <c r="C27" s="1400"/>
      <c r="D27" s="331"/>
      <c r="E27" s="1357"/>
      <c r="F27" s="1165" t="str">
        <f>IF(E27=0,"",ROUND(SQRT(COS(AU28*1.5*PI()/180)),3))</f>
        <v/>
      </c>
      <c r="G27" s="586"/>
      <c r="H27" s="586"/>
      <c r="I27" s="586"/>
      <c r="J27" s="586"/>
      <c r="K27" s="1575"/>
      <c r="L27" s="1654"/>
      <c r="M27" s="1229">
        <f>+IF(L27=0,0,"×")</f>
        <v>0</v>
      </c>
      <c r="N27" s="1295">
        <f>IF(L27=0,0,BB27)</f>
        <v>0</v>
      </c>
      <c r="O27" s="1296" t="str">
        <f>IF(W27=+"","",IF(AND(W27&lt;=1,X27&lt;=1,Z27&lt;=1,AA27&lt;=1),"OK!","NO!"))</f>
        <v/>
      </c>
      <c r="P27" s="1296">
        <f>IF(T27=0,0,IF(AND(Y27=0,AB27=0),0,IF(IF(Y27&gt;=AB27,Y27,AB27)&lt;=1,"OK!","NO!")))</f>
        <v>0</v>
      </c>
      <c r="Q27" s="1659"/>
      <c r="R27" s="1269"/>
      <c r="S27" s="1271">
        <f>IF(R27=0,0,+BR27)</f>
        <v>0</v>
      </c>
      <c r="T27" s="1253">
        <f>IF(AND(R27=0,V31=0),0,IF(S27=0,ROUND($K$181*$AR$10*X31/100,2),ROUNDUP(POWER(R27*S27,2)/(L27/10*IF(Q27=0,N27/10,Q27/10)),2)))</f>
        <v>0</v>
      </c>
      <c r="U27" s="1257">
        <f>IF(R27=0,0,IF(BH30&gt;=BK30,BH30,BK30))</f>
        <v>0</v>
      </c>
      <c r="V27" s="1652"/>
      <c r="W27" s="1257" t="str">
        <f>IF(N27=0,"",ROUNDUP(BF30/AX32,2))</f>
        <v/>
      </c>
      <c r="X27" s="1257" t="str">
        <f>IF(N27=0,"",ROUND(BG30/BE32,2))</f>
        <v/>
      </c>
      <c r="Y27" s="1257">
        <f>IF(K27=0,0,IF(AND(R27=0,V31=0),0,IF(R27=0,ROUNDUP(CF27/(AZ32*$K$181*$AR$10*X31/100),2),+BS28)))</f>
        <v>0</v>
      </c>
      <c r="Z27" s="1257" t="str">
        <f>IF(N27=0,"",ROUNDUP(BI30/AY32,2))</f>
        <v/>
      </c>
      <c r="AA27" s="1257" t="str">
        <f>IF(N27=0,"",ROUNDUP(BJ30/BE32,2))</f>
        <v/>
      </c>
      <c r="AB27" s="1257">
        <f>IF(K27=0,0,IF(AND(R27=0,V31=0),0,IF(R27=0,ROUNDUP(CG27/(BA32*$K$181*$AR$10*X31/100),2),+BT28)))</f>
        <v>0</v>
      </c>
      <c r="AC27" s="158"/>
      <c r="AD27" s="426"/>
      <c r="AE27" s="430"/>
      <c r="AF27" s="428"/>
      <c r="AG27" s="1253">
        <f>IF(AC27=0,0,ROUND(AC27*AD27+AE27*AF27+AC28*AD28+AE28*AF28,2))</f>
        <v>0</v>
      </c>
      <c r="AH27" s="1253" t="str">
        <f>IF(AD27=0,"",IF(AN27=1,AM27/(AR10*X31),AM27))</f>
        <v/>
      </c>
      <c r="AI27" s="1255" t="str">
        <f>IF(AH27=+"","",IF(AH27&lt;=1,"OK!","NO!"))</f>
        <v/>
      </c>
      <c r="AJ27" s="1695">
        <f>+IF(I31=0,0,"1/")</f>
        <v>0</v>
      </c>
      <c r="AK27" s="1696">
        <f>IF(I31=0,0,+BD32)</f>
        <v>0</v>
      </c>
      <c r="AL27" s="194"/>
      <c r="AM27" s="3" t="e">
        <f>+IF(BN30&gt;=BO30,BN30+CW29,BO30+CX29)</f>
        <v>#VALUE!</v>
      </c>
      <c r="AN27" s="3">
        <f>IF(P31=0,0,+VALUE(RIGHT(P31,4)))</f>
        <v>0</v>
      </c>
      <c r="AO27" s="515" t="s">
        <v>878</v>
      </c>
      <c r="AP27" s="3">
        <f>ROUND((G28+H28)/2,2)</f>
        <v>0</v>
      </c>
      <c r="AR27" s="349" t="s">
        <v>707</v>
      </c>
      <c r="AS27" s="349" t="s">
        <v>703</v>
      </c>
      <c r="AT27" s="520" t="s">
        <v>241</v>
      </c>
      <c r="AU27" s="17" t="s">
        <v>83</v>
      </c>
      <c r="AV27" s="63" t="e">
        <f t="shared" ref="AV27:BA27" si="4">ROUNDUP(BC27/3,-1)*3</f>
        <v>#DIV/0!</v>
      </c>
      <c r="AW27" s="63" t="e">
        <f t="shared" si="4"/>
        <v>#VALUE!</v>
      </c>
      <c r="AX27" s="63" t="e">
        <f t="shared" si="4"/>
        <v>#VALUE!</v>
      </c>
      <c r="AY27" s="63" t="e">
        <f t="shared" si="4"/>
        <v>#DIV/0!</v>
      </c>
      <c r="AZ27" s="63" t="e">
        <f t="shared" si="4"/>
        <v>#VALUE!</v>
      </c>
      <c r="BA27" s="63" t="e">
        <f t="shared" si="4"/>
        <v>#VALUE!</v>
      </c>
      <c r="BB27" s="155" t="e">
        <f>+MAX(AV27:BA27)</f>
        <v>#DIV/0!</v>
      </c>
      <c r="BC27" s="63" t="e">
        <f>ROUND(SQRT(ROUND(BI27/AX32*6/(L27/10)/IF(V27=0,1,V27),1))*10,0)</f>
        <v>#DIV/0!</v>
      </c>
      <c r="BD27" s="3" t="e">
        <f>POWER(ROUNDUP(BJ27/(L27/10)*12,0)/IF(V27=0,1,V27)/BE32,1/3)*10</f>
        <v>#VALUE!</v>
      </c>
      <c r="BE27" s="3" t="e">
        <f>POWER(ROUND(BK27/(L27/10)*12,0)/IF(V27=0,1,V27)/BE32,1/3)*10</f>
        <v>#VALUE!</v>
      </c>
      <c r="BF27" s="63" t="e">
        <f>ROUND(SQRT(ROUND(BL27/AY32*6/(L27/10)/IF(V27=0,1,V27),1))*10,2)</f>
        <v>#DIV/0!</v>
      </c>
      <c r="BG27" s="3" t="e">
        <f>POWER(ROUND(BM27/(L27/10)*12,0)/IF(V27=0,1,V27)/BE32,1/3)*10</f>
        <v>#VALUE!</v>
      </c>
      <c r="BH27" s="3" t="e">
        <f>POWER(ROUND(BN27/(L27/10)*12,0)/IF(V27=0,1,V27)/BE32,1/3)*10</f>
        <v>#VALUE!</v>
      </c>
      <c r="BI27" s="63" t="e">
        <f>ROUNDUP(AW30*AW29/AQ31*AR29,1)+BX30+CM30</f>
        <v>#DIV/0!</v>
      </c>
      <c r="BJ27" s="63" t="e">
        <f>AR29*AW29*SQRT(POWER(BA29-AY29,3))/(9*SQRT(3)*AS31*(AW29+AW30))+BY31+CO30</f>
        <v>#VALUE!</v>
      </c>
      <c r="BK27" s="63" t="e">
        <f>AR29*AW30*SQRT(POWER(BA29-AY30,3))/(9*SQRT(3)*AS31*(AW29+AW30))+BY31+CO30</f>
        <v>#VALUE!</v>
      </c>
      <c r="BL27" s="63" t="e">
        <f>ROUNDUP(AW30*AW29/AQ31*AS29,1)+BX30+CN30</f>
        <v>#DIV/0!</v>
      </c>
      <c r="BM27" s="63" t="e">
        <f>AS29*AW29*SQRT(POWER(BA29-AY29,3))/(9*SQRT(3)*AS31*(AW29+AW30))+BY31+CO30</f>
        <v>#VALUE!</v>
      </c>
      <c r="BN27" s="63" t="e">
        <f>AS29*AW30*SQRT(POWER(BA29-AY30,3))/(9*SQRT(3)*AS31*(AW29+AW30))+BY31+CP30</f>
        <v>#VALUE!</v>
      </c>
      <c r="BO27" s="9" t="e">
        <f>IF(AW30&gt;=AW29,ROUNDUP(AR29*AW30/AQ31/BB32,2),ROUNDUP(AR29*AW29/AQ31/BB32,2))</f>
        <v>#DIV/0!</v>
      </c>
      <c r="BP27" s="9" t="e">
        <f>IF(AW30&gt;=AW29,ROUNDUP(AS29*AW30/AQ31/BC32,2),ROUNDUP(AS29*AW29/AQ31/BC32,2))</f>
        <v>#VALUE!</v>
      </c>
      <c r="BQ27" s="23" t="e">
        <f>IF(BO27&gt;=BP27,BO27,BP27)</f>
        <v>#DIV/0!</v>
      </c>
      <c r="BR27" s="9">
        <f>IF(N27=0,0,ROUNDUP(SQRT((U27*L27/10*N27/10)/(R27*R27)),2))</f>
        <v>0</v>
      </c>
      <c r="BS27" s="805" t="s">
        <v>473</v>
      </c>
      <c r="BT27" s="63" t="s">
        <v>474</v>
      </c>
      <c r="BU27" s="63" t="s">
        <v>201</v>
      </c>
      <c r="BV27" s="63" t="s">
        <v>202</v>
      </c>
      <c r="BW27" s="3">
        <v>1</v>
      </c>
      <c r="BX27" s="3">
        <v>2</v>
      </c>
      <c r="BY27" s="3">
        <v>3</v>
      </c>
      <c r="BZ27" s="3">
        <v>4</v>
      </c>
      <c r="CA27" s="3">
        <v>5</v>
      </c>
      <c r="CB27" s="3">
        <v>6</v>
      </c>
      <c r="CF27" s="442" t="e">
        <f>ROUND(IF($AW30&gt;=$AW29,$AW30,$AW29)/$AQ31*$AR29,1)+BX31+CM31</f>
        <v>#DIV/0!</v>
      </c>
      <c r="CG27" s="442" t="e">
        <f>ROUND(IF($AW30&gt;=$AW29,$AW30,$AW29)/$AQ31*$AS29,1)+BX31+CN31</f>
        <v>#DIV/0!</v>
      </c>
      <c r="CH27" s="443" t="e">
        <f>+AV27+CF30</f>
        <v>#DIV/0!</v>
      </c>
      <c r="CI27" s="548" t="e">
        <f>+AW27+CG30</f>
        <v>#VALUE!</v>
      </c>
      <c r="CJ27" s="548" t="e">
        <f>+AY27+CF30</f>
        <v>#DIV/0!</v>
      </c>
      <c r="CK27" s="548" t="e">
        <f>+AZ27+CG30</f>
        <v>#VALUE!</v>
      </c>
      <c r="CL27" s="545" t="e">
        <f>MAX(CH27:CK27)</f>
        <v>#DIV/0!</v>
      </c>
      <c r="CM27" s="63" t="s">
        <v>201</v>
      </c>
      <c r="CN27" s="63" t="s">
        <v>202</v>
      </c>
      <c r="CQ27" s="412" t="s">
        <v>1013</v>
      </c>
      <c r="CR27" s="349" t="s">
        <v>1014</v>
      </c>
      <c r="CS27" s="412" t="s">
        <v>1015</v>
      </c>
      <c r="CT27" s="412" t="s">
        <v>1013</v>
      </c>
      <c r="CU27" s="349" t="s">
        <v>1014</v>
      </c>
      <c r="CV27" s="412" t="s">
        <v>1015</v>
      </c>
      <c r="CW27" s="3" t="s">
        <v>1223</v>
      </c>
      <c r="CX27" s="3" t="s">
        <v>1224</v>
      </c>
      <c r="CY27" s="1253">
        <f>IF(AND(R27=0,V31=0),0,IF(S27=0,K$181*AR10*X31/100,ROUND(POWER(R27*S27,2)/(L27/10*N27/10),2)))</f>
        <v>0</v>
      </c>
    </row>
    <row r="28" spans="2:103" x14ac:dyDescent="0.15">
      <c r="B28" s="1712"/>
      <c r="C28" s="1400"/>
      <c r="D28" s="330"/>
      <c r="E28" s="1357"/>
      <c r="F28" s="1166"/>
      <c r="G28" s="1028"/>
      <c r="H28" s="1028"/>
      <c r="I28" s="1028"/>
      <c r="J28" s="1028"/>
      <c r="K28" s="1672"/>
      <c r="L28" s="1653"/>
      <c r="M28" s="1289"/>
      <c r="N28" s="1258"/>
      <c r="O28" s="1392"/>
      <c r="P28" s="1392"/>
      <c r="Q28" s="1660"/>
      <c r="R28" s="1507"/>
      <c r="S28" s="1254"/>
      <c r="T28" s="1254"/>
      <c r="U28" s="1254"/>
      <c r="V28" s="1653"/>
      <c r="W28" s="1258"/>
      <c r="X28" s="1258"/>
      <c r="Y28" s="1254"/>
      <c r="Z28" s="1258"/>
      <c r="AA28" s="1258"/>
      <c r="AB28" s="1254"/>
      <c r="AC28" s="414"/>
      <c r="AD28" s="427"/>
      <c r="AE28" s="431"/>
      <c r="AF28" s="429"/>
      <c r="AG28" s="1254"/>
      <c r="AH28" s="1254"/>
      <c r="AI28" s="1256"/>
      <c r="AJ28" s="1284"/>
      <c r="AK28" s="1524"/>
      <c r="AL28" s="194"/>
      <c r="AO28" s="515" t="s">
        <v>879</v>
      </c>
      <c r="AP28" s="3">
        <f>ROUND((I28+J28)/2,2)</f>
        <v>0</v>
      </c>
      <c r="AQ28" s="479" t="s">
        <v>877</v>
      </c>
      <c r="AR28" s="632">
        <f>+準備!G57+AV32</f>
        <v>850</v>
      </c>
      <c r="AS28" s="632" t="e">
        <f>+準備!G57+AW32</f>
        <v>#VALUE!</v>
      </c>
      <c r="AT28" s="3">
        <f>+IF(OR(V28=0,V28=1),1,V28)</f>
        <v>1</v>
      </c>
      <c r="AU28" s="69">
        <f>ROUND(ATAN(E27/10)*180/PI(),4)</f>
        <v>0</v>
      </c>
      <c r="AV28" s="63" t="e">
        <f>IF(V28=0.8,VLOOKUP(BC28,$AR$398:$AS$443,2),IF(V28=0.9,VLOOKUP(BC28,$AR$351:$AS$396,2),VLOOKUP(BC28,$AR$304:$AS$349,2)))</f>
        <v>#DIV/0!</v>
      </c>
      <c r="AW28" s="63" t="e">
        <f>IF(V28=0.8,VLOOKUP(BD28,$AT$398:$AU$443,2),IF(V28=0.9,VLOOKUP(BD28,$AT$351:$AU$396,2),VLOOKUP(BD28,$AT$304:$AU$349,2)))</f>
        <v>#VALUE!</v>
      </c>
      <c r="AX28" s="63" t="e">
        <f>IF(V28=0.8,VLOOKUP(BE28,$AT$398:$AU$443,2),IF(V28=0.9,VLOOKUP(BE28,$AT$351:$AU$396,2),VLOOKUP(BE28,$AT$304:$AU$349,2)))</f>
        <v>#VALUE!</v>
      </c>
      <c r="AY28" s="63" t="e">
        <f>IF(V28=0.8,VLOOKUP(BF28,$AR$398:$AS$443,2),IF(V28=0.9,VLOOKUP(BF28,$AR$351:$AS$396,2),VLOOKUP(BF28,$AR$304:$AS$349,2)))</f>
        <v>#DIV/0!</v>
      </c>
      <c r="AZ28" s="63" t="e">
        <f>IF(V28=0.8,VLOOKUP(BG28,$AT$398:$AU$443,2),IF(V28=0.9,VLOOKUP(BG28,$AT$351:$AU$396,2),VLOOKUP(BG28,$AT$304:$AU$349,2)))</f>
        <v>#VALUE!</v>
      </c>
      <c r="BA28" s="63" t="e">
        <f>IF(V28=0.8,VLOOKUP(BH28,$AT$398:$AU$443,2),IF(V28=0.9,VLOOKUP(BH28,$AT$351:$AU$396,2),VLOOKUP(BH28,$AT$304:$AU$349,2)))</f>
        <v>#VALUE!</v>
      </c>
      <c r="BB28" s="155" t="e">
        <f>+MAX(AV28:BA28)</f>
        <v>#DIV/0!</v>
      </c>
      <c r="BC28" s="63" t="e">
        <f>ROUNDUP(BI28/AX32/IF(V28=0,1,V28),1)</f>
        <v>#DIV/0!</v>
      </c>
      <c r="BD28" s="63" t="e">
        <f>ROUNDUP(AR29*AW29*BE29/(9*SQRT(3)*AS31*AQ31*BE32)/AT28,2)</f>
        <v>#VALUE!</v>
      </c>
      <c r="BE28" s="63" t="e">
        <f>ROUNDUP(AR29*AW29*BE29/(9*SQRT(3)*AS31*AQ31*BE32)/AT28,2)</f>
        <v>#VALUE!</v>
      </c>
      <c r="BF28" s="63" t="e">
        <f>ROUNDUP(BL28/AY32/IF(V28=0,1,V28),1)</f>
        <v>#DIV/0!</v>
      </c>
      <c r="BG28" s="63" t="e">
        <f>ROUNDUP(AS29*AW29*BE29/(9*SQRT(3)*AS31*AQ31*BE32)/AT28,2)</f>
        <v>#VALUE!</v>
      </c>
      <c r="BH28" s="63" t="e">
        <f>ROUNDUP(AS29*AW30*BE29/(9*SQRT(3)*AS31*AQ31*BE32)/AT28,2)</f>
        <v>#VALUE!</v>
      </c>
      <c r="BI28" s="63" t="e">
        <f>ROUNDUP(AW29*AW30/AQ31*AR29,1)+BX30+CM30</f>
        <v>#DIV/0!</v>
      </c>
      <c r="BJ28" s="63" t="e">
        <f>+BJ27</f>
        <v>#VALUE!</v>
      </c>
      <c r="BK28" s="63" t="e">
        <f>+BK27</f>
        <v>#VALUE!</v>
      </c>
      <c r="BL28" s="63" t="e">
        <f>+BL27</f>
        <v>#DIV/0!</v>
      </c>
      <c r="BM28" s="63" t="e">
        <f>+BM27</f>
        <v>#VALUE!</v>
      </c>
      <c r="BN28" s="63" t="e">
        <f>+BN27</f>
        <v>#VALUE!</v>
      </c>
      <c r="BO28" s="9" t="e">
        <f>IF(AW30&gt;=AW29,ROUNDUP(AR29*AW30/AQ31/BB32,2),ROUNDUP(AR29*AW29/AQ31/BB32,2))</f>
        <v>#DIV/0!</v>
      </c>
      <c r="BP28" s="9" t="e">
        <f>IF(AW30&gt;=AW29,ROUNDUP(AS29*AW30/AQ31/BC32,2),ROUNDUP(AS29*AW29/AQ31/BC32,2))</f>
        <v>#VALUE!</v>
      </c>
      <c r="BQ28" s="23" t="e">
        <f>IF(BO28&gt;=BP28,BO28,BP28)</f>
        <v>#DIV/0!</v>
      </c>
      <c r="BR28" s="9">
        <f>IF(N28=0,0,ROUNDUP(SQRT(IF(Q28=0,(U28*(N28/10-5)*(N28/10-3)),(U28*(Q28/10-5)*(Q28/10-3)))/(R28*R28)),2))</f>
        <v>0</v>
      </c>
      <c r="BS28" s="63" t="str">
        <f>IF(N27=0,"",ROUND(CF27/(AZ32*T27),2))</f>
        <v/>
      </c>
      <c r="BT28" s="63" t="str">
        <f>IF(N27=0,"",ROUND(CG27/(BA32*T27),1))</f>
        <v/>
      </c>
      <c r="BU28" s="805" t="s">
        <v>269</v>
      </c>
      <c r="BV28" s="805" t="s">
        <v>269</v>
      </c>
      <c r="BW28" s="632">
        <f>+準備!$G$20/100</f>
        <v>4.5</v>
      </c>
      <c r="BX28" s="632">
        <f>+準備!$G$24/100</f>
        <v>11</v>
      </c>
      <c r="BY28" s="632">
        <f>+準備!$G$28/100</f>
        <v>14</v>
      </c>
      <c r="BZ28" s="632">
        <f>+準備!$G$32/100</f>
        <v>17.5</v>
      </c>
      <c r="CA28" s="632">
        <f>+準備!$G$36/100</f>
        <v>17.5</v>
      </c>
      <c r="CB28" s="632">
        <f>+準備!$G$38/100</f>
        <v>4</v>
      </c>
      <c r="CF28" s="548" t="e">
        <f>+IF($AW30&gt;=$AW29,$AW30*$AR29/($K31*100)+BX31,$AW29*$AR29/($K31*100)+BX31+CM31)</f>
        <v>#DIV/0!</v>
      </c>
      <c r="CG28" s="548" t="e">
        <f>+IF($AW30&gt;=$AW29,$AW30*$AS29/($K31*100)+BX31,$AW29*$AS29/($K31*100)+BX31+CN31)</f>
        <v>#VALUE!</v>
      </c>
      <c r="CH28" s="548" t="e">
        <f>+AV28+CF30</f>
        <v>#DIV/0!</v>
      </c>
      <c r="CI28" s="548" t="e">
        <f>+AW28+CG30</f>
        <v>#VALUE!</v>
      </c>
      <c r="CJ28" s="548" t="e">
        <f>+AY28+CF30</f>
        <v>#DIV/0!</v>
      </c>
      <c r="CK28" s="548" t="e">
        <f>+AZ28+CG30</f>
        <v>#VALUE!</v>
      </c>
      <c r="CL28" s="545" t="e">
        <f>MAX(CH28:CK28)</f>
        <v>#DIV/0!</v>
      </c>
      <c r="CM28" s="805" t="s">
        <v>269</v>
      </c>
      <c r="CN28" s="805" t="s">
        <v>269</v>
      </c>
      <c r="CO28" s="3" t="s">
        <v>189</v>
      </c>
      <c r="CQ28" s="3" t="e">
        <f>IF($BX30=0,0,ROUND(($BX30+$CM30)/$CA31,1))</f>
        <v>#N/A</v>
      </c>
      <c r="CR28" s="3" t="e">
        <f>IF($BY31=0,0,ROUND(($BY31+$CO30)/$CC31,2))</f>
        <v>#N/A</v>
      </c>
      <c r="CS28" s="3" t="e">
        <f>IF($BX31=0,0,ROUND(($BX31+$CM31)/$T27,1))</f>
        <v>#N/A</v>
      </c>
      <c r="CT28" s="3" t="e">
        <f>IF($BX30=0,0,ROUND(($BX30+$CN30)/$CA31,1))</f>
        <v>#N/A</v>
      </c>
      <c r="CU28" s="3" t="e">
        <f>IF($BY31=0,0,ROUND(($BY31+$CP30)/$CC31,2))</f>
        <v>#N/A</v>
      </c>
      <c r="CV28" s="3" t="e">
        <f>IF($BX31=0,0,ROUND(($BX31+$CN31)/$T27,1))</f>
        <v>#N/A</v>
      </c>
      <c r="CW28" s="3" t="e">
        <f>ROUND(VLOOKUP(VALUE(RIGHT($K27,4)),許容応力!$B$6:$K$22,9)*1.1/3*100,0)</f>
        <v>#VALUE!</v>
      </c>
      <c r="CX28" s="3" t="e">
        <f>ROUND(VLOOKUP(VALUE(RIGHT($K27,4)),許容応力!$B$6:$K$22,9)*2/3*0.8*100,0)</f>
        <v>#VALUE!</v>
      </c>
      <c r="CY28" s="1272"/>
    </row>
    <row r="29" spans="2:103" ht="14.25" customHeight="1" x14ac:dyDescent="0.15">
      <c r="B29" s="1712"/>
      <c r="C29" s="1217" t="s">
        <v>980</v>
      </c>
      <c r="D29" s="1403" t="s">
        <v>961</v>
      </c>
      <c r="E29" s="1404"/>
      <c r="F29" s="1407" t="s">
        <v>964</v>
      </c>
      <c r="G29" s="1408"/>
      <c r="H29" s="1239" t="s">
        <v>970</v>
      </c>
      <c r="I29" s="1215" t="s">
        <v>967</v>
      </c>
      <c r="J29" s="1397"/>
      <c r="K29" s="461"/>
      <c r="L29" s="451"/>
      <c r="M29" s="450"/>
      <c r="N29" s="451"/>
      <c r="O29" s="450"/>
      <c r="P29" s="451"/>
      <c r="Q29" s="878"/>
      <c r="R29" s="1307" t="s">
        <v>1154</v>
      </c>
      <c r="S29" s="1308"/>
      <c r="T29" s="1308"/>
      <c r="U29" s="1308"/>
      <c r="V29" s="1308"/>
      <c r="W29" s="1308"/>
      <c r="X29" s="1621"/>
      <c r="Y29" s="453"/>
      <c r="Z29" s="453"/>
      <c r="AA29" s="453"/>
      <c r="AB29" s="453"/>
      <c r="AC29" s="462"/>
      <c r="AD29" s="452"/>
      <c r="AE29" s="451"/>
      <c r="AF29" s="453"/>
      <c r="AG29" s="452"/>
      <c r="AH29" s="452"/>
      <c r="AI29" s="450"/>
      <c r="AJ29" s="454"/>
      <c r="AK29" s="455"/>
      <c r="AL29" s="194"/>
      <c r="AO29" s="637" t="s">
        <v>958</v>
      </c>
      <c r="AQ29" s="638" t="s">
        <v>994</v>
      </c>
      <c r="AR29" s="3">
        <f>ROUND(AR28*AP27*AP28,0)</f>
        <v>0</v>
      </c>
      <c r="AS29" s="3" t="e">
        <f>ROUND(AS28*AP27*AP28,0)</f>
        <v>#VALUE!</v>
      </c>
      <c r="AT29" s="639" t="e">
        <f>+VALUE(RIGHT(K27,4))</f>
        <v>#VALUE!</v>
      </c>
      <c r="AU29" s="639" t="e">
        <f>+VLOOKUP(VALUE(RIGHT(K27,4)),$G$387:$J$397,3)</f>
        <v>#VALUE!</v>
      </c>
      <c r="AV29" s="377" t="s">
        <v>986</v>
      </c>
      <c r="AW29" s="640">
        <f>+J31*100</f>
        <v>0</v>
      </c>
      <c r="AX29" s="3" t="s">
        <v>988</v>
      </c>
      <c r="AY29" s="3">
        <f>+POWER(AW29,2)</f>
        <v>0</v>
      </c>
      <c r="AZ29" s="3" t="s">
        <v>990</v>
      </c>
      <c r="BA29" s="3">
        <f>+POWER(AQ31,2)</f>
        <v>0</v>
      </c>
      <c r="BB29" s="3" t="s">
        <v>999</v>
      </c>
      <c r="BC29" s="3">
        <f>+BA29-AY29</f>
        <v>0</v>
      </c>
      <c r="BD29" s="3" t="s">
        <v>992</v>
      </c>
      <c r="BE29" s="3">
        <f>SQRT(+POWER(BC29,3))</f>
        <v>0</v>
      </c>
      <c r="BF29" s="52" t="s">
        <v>287</v>
      </c>
      <c r="BG29" s="805" t="s">
        <v>288</v>
      </c>
      <c r="BH29" s="52" t="s">
        <v>490</v>
      </c>
      <c r="BI29" s="52" t="s">
        <v>289</v>
      </c>
      <c r="BJ29" s="805" t="s">
        <v>290</v>
      </c>
      <c r="BK29" s="52" t="s">
        <v>493</v>
      </c>
      <c r="BL29" s="805" t="s">
        <v>291</v>
      </c>
      <c r="BM29" s="805" t="s">
        <v>292</v>
      </c>
      <c r="BN29" s="412" t="s">
        <v>1020</v>
      </c>
      <c r="BO29" s="412" t="s">
        <v>1021</v>
      </c>
      <c r="BS29" s="63" t="str">
        <f>+BS28</f>
        <v/>
      </c>
      <c r="BT29" s="63" t="str">
        <f>+BT28</f>
        <v/>
      </c>
      <c r="BU29" s="87" t="e">
        <f>IF(OR(BR30=0,BR30=1),0,ROUNDUP((準備!$G$60/100+準備!$D$48/100)*((F31+G31)/2*100)/200,2))</f>
        <v>#N/A</v>
      </c>
      <c r="BV29" s="87" t="e">
        <f>+BU29</f>
        <v>#N/A</v>
      </c>
      <c r="BW29" s="3">
        <f t="shared" ref="BW29:CB29" si="5">ROUND(BW28*$I32,2)</f>
        <v>0</v>
      </c>
      <c r="BX29" s="3">
        <f t="shared" si="5"/>
        <v>0</v>
      </c>
      <c r="BY29" s="3">
        <f t="shared" si="5"/>
        <v>0</v>
      </c>
      <c r="BZ29" s="3">
        <f t="shared" si="5"/>
        <v>0</v>
      </c>
      <c r="CA29" s="3">
        <f t="shared" si="5"/>
        <v>0</v>
      </c>
      <c r="CB29" s="3">
        <f t="shared" si="5"/>
        <v>0</v>
      </c>
      <c r="CF29" s="412" t="s">
        <v>1065</v>
      </c>
      <c r="CG29" s="349" t="s">
        <v>1066</v>
      </c>
      <c r="CH29" s="412" t="s">
        <v>1067</v>
      </c>
      <c r="CM29" s="87">
        <f>IF(OR($BR30=0,$BR30=1),0,ROUND((準備!$G$6+$AV32)*$G31/200,2))</f>
        <v>0</v>
      </c>
      <c r="CN29" s="87" t="e">
        <f>IF(OR($BR30=0,$BR30=1),0,ROUND((準備!$G$6+$AW32)*$G31/200,2))</f>
        <v>#VALUE!</v>
      </c>
      <c r="CO29" s="3" t="s">
        <v>168</v>
      </c>
      <c r="CP29" s="3" t="s">
        <v>203</v>
      </c>
      <c r="CQ29" s="412" t="s">
        <v>1065</v>
      </c>
      <c r="CR29" s="349" t="s">
        <v>1066</v>
      </c>
      <c r="CS29" s="412" t="s">
        <v>1067</v>
      </c>
      <c r="CT29" s="412" t="s">
        <v>1065</v>
      </c>
      <c r="CU29" s="349" t="s">
        <v>1066</v>
      </c>
      <c r="CV29" s="412" t="s">
        <v>1067</v>
      </c>
      <c r="CW29" s="3" t="e">
        <f>ROUND($CM$17*K31*100/2/CW28/AG27,2)</f>
        <v>#VALUE!</v>
      </c>
      <c r="CX29" s="3" t="e">
        <f>ROUND(CN29*K31*100/2/CX28/AG27,2)</f>
        <v>#VALUE!</v>
      </c>
    </row>
    <row r="30" spans="2:103" x14ac:dyDescent="0.15">
      <c r="B30" s="1712"/>
      <c r="C30" s="1402"/>
      <c r="D30" s="1405"/>
      <c r="E30" s="1406"/>
      <c r="F30" s="411" t="s">
        <v>971</v>
      </c>
      <c r="G30" s="587" t="s">
        <v>1071</v>
      </c>
      <c r="H30" s="1409"/>
      <c r="I30" s="586" t="s">
        <v>981</v>
      </c>
      <c r="J30" s="592" t="s">
        <v>982</v>
      </c>
      <c r="K30" s="440" t="s">
        <v>1011</v>
      </c>
      <c r="L30" s="592" t="s">
        <v>1071</v>
      </c>
      <c r="M30" s="456" t="s">
        <v>1072</v>
      </c>
      <c r="N30" s="457"/>
      <c r="O30" s="876"/>
      <c r="P30" s="1342"/>
      <c r="Q30" s="1406"/>
      <c r="R30" s="877" t="s">
        <v>1265</v>
      </c>
      <c r="S30" s="877" t="s">
        <v>1266</v>
      </c>
      <c r="T30" s="877" t="s">
        <v>1267</v>
      </c>
      <c r="U30" s="877" t="s">
        <v>1260</v>
      </c>
      <c r="V30" s="877" t="s">
        <v>1268</v>
      </c>
      <c r="W30" s="440" t="s">
        <v>1151</v>
      </c>
      <c r="X30" s="440" t="s">
        <v>1153</v>
      </c>
      <c r="Y30" s="324"/>
      <c r="Z30" s="324"/>
      <c r="AA30" s="324"/>
      <c r="AB30" s="324"/>
      <c r="AC30" s="463"/>
      <c r="AD30" s="325"/>
      <c r="AE30" s="302"/>
      <c r="AF30" s="324"/>
      <c r="AG30" s="325"/>
      <c r="AH30" s="325"/>
      <c r="AI30" s="594"/>
      <c r="AJ30" s="420"/>
      <c r="AK30" s="421"/>
      <c r="AL30" s="194"/>
      <c r="AP30" s="3" t="s">
        <v>790</v>
      </c>
      <c r="AQ30" s="3">
        <f>+L27</f>
        <v>0</v>
      </c>
      <c r="AR30" s="3" t="s">
        <v>985</v>
      </c>
      <c r="AS30" s="3">
        <f>+N27</f>
        <v>0</v>
      </c>
      <c r="AT30" s="3" t="s">
        <v>15</v>
      </c>
      <c r="AU30" s="3" t="e">
        <f>+VALUE(RIGHT(K27,4))</f>
        <v>#VALUE!</v>
      </c>
      <c r="AV30" s="377" t="s">
        <v>987</v>
      </c>
      <c r="AW30" s="640">
        <f>+I31*100</f>
        <v>0</v>
      </c>
      <c r="AX30" s="3" t="s">
        <v>989</v>
      </c>
      <c r="AY30" s="3">
        <f>+POWER(AW30,2)</f>
        <v>0</v>
      </c>
      <c r="AZ30" s="409">
        <f>+VALUE(RIGHT($G$10,3))</f>
        <v>2</v>
      </c>
      <c r="BB30" s="3" t="s">
        <v>991</v>
      </c>
      <c r="BC30" s="3">
        <f>+BA29-AY30</f>
        <v>0</v>
      </c>
      <c r="BD30" s="3" t="s">
        <v>993</v>
      </c>
      <c r="BE30" s="3">
        <f>SQRT(+POWER(BC30,3))</f>
        <v>0</v>
      </c>
      <c r="BF30" s="3" t="e">
        <f>ROUND((BI27)/BL30,1)</f>
        <v>#DIV/0!</v>
      </c>
      <c r="BG30" s="3" t="e">
        <f>+IF(AW30&gt;=AW29,BJ27/AU31,BK27/AU31)</f>
        <v>#VALUE!</v>
      </c>
      <c r="BH30" s="63" t="e">
        <f>+CF27/AZ32</f>
        <v>#DIV/0!</v>
      </c>
      <c r="BI30" s="3" t="e">
        <f>ROUND(BL27/BL30,1)</f>
        <v>#DIV/0!</v>
      </c>
      <c r="BJ30" s="3" t="e">
        <f>+IF(AW30&gt;=AW29,BM27/AU31,BN27/AU31)</f>
        <v>#VALUE!</v>
      </c>
      <c r="BK30" s="63" t="e">
        <f>+CG27/BA32</f>
        <v>#DIV/0!</v>
      </c>
      <c r="BL30" s="63">
        <f>ROUNDDOWN(L27/10*POWER(N27/10,2)/6*IF(OR(V27=0,V27=1),1,V27),0)</f>
        <v>0</v>
      </c>
      <c r="BM30" s="63">
        <f>ROUNDDOWN(L27/10*POWER(N27/10,3)/12*IF(OR(V27=0,V27=1),1,V27),0)</f>
        <v>0</v>
      </c>
      <c r="BN30" s="63" t="str">
        <f>IF(N27=0,"",IF(AW30&gt;=AW29,ROUND(AR29*AW30/AQ31/AG27/BB32,2),ROUNDUP(AR29*AW29/AQ31/AG27/BB32,2)))</f>
        <v/>
      </c>
      <c r="BO30" s="63" t="str">
        <f>IF(N27=0,"",IF(AW30&gt;=AW29,ROUND(AS29*AW30/AQ31/AG27/BC32,2),ROUNDUP(AS29*AW29/AQ31/AG27/BC32,2)))</f>
        <v/>
      </c>
      <c r="BQ30" s="3" t="s">
        <v>1012</v>
      </c>
      <c r="BR30" s="3">
        <f>IF(D29=0,0,+VALUE(RIGHT(D29,4)))</f>
        <v>2</v>
      </c>
      <c r="BS30" s="3" t="s">
        <v>1003</v>
      </c>
      <c r="BT30" s="3">
        <f>IF(G32=0,0,+VALUE(RIGHT(G32,4)))</f>
        <v>0</v>
      </c>
      <c r="BU30" s="3">
        <f>IF(OR(BR31=0,BR31=2),0,HLOOKUP(BT30,BW27:CB29,3))</f>
        <v>0</v>
      </c>
      <c r="BV30" s="3">
        <f>+BU30</f>
        <v>0</v>
      </c>
      <c r="BW30" s="3" t="s">
        <v>1019</v>
      </c>
      <c r="BX30" s="3" t="e">
        <f>BU31*POWER(AQ31,2)/8</f>
        <v>#N/A</v>
      </c>
      <c r="BY30" s="3" t="s">
        <v>189</v>
      </c>
      <c r="BZ30" s="3" t="s">
        <v>782</v>
      </c>
      <c r="CA30" s="3" t="e">
        <f>ROUNDUP(+SQRT((BX30+CM30)*6/(AX32*L27/10)),0)</f>
        <v>#N/A</v>
      </c>
      <c r="CF30" s="3" t="e">
        <f>+ROUNDUP(CQ30/3,-1)*3</f>
        <v>#N/A</v>
      </c>
      <c r="CG30" s="3" t="e">
        <f>ROUNDUP(CR30/3,-1)*3</f>
        <v>#N/A</v>
      </c>
      <c r="CH30" s="3" t="e">
        <f>ROUNDUP(CS30/3,-1)*3</f>
        <v>#N/A</v>
      </c>
      <c r="CL30" s="3" t="s">
        <v>1019</v>
      </c>
      <c r="CM30" s="3">
        <f>+CM29*POWER(K31*100,2)/8</f>
        <v>0</v>
      </c>
      <c r="CN30" s="3" t="e">
        <f>+CN29*POWER(K31*100,2)/8</f>
        <v>#VALUE!</v>
      </c>
      <c r="CO30" s="3" t="e">
        <f>5*CM29*POWER(AQ31,4)/(384*AS31)</f>
        <v>#VALUE!</v>
      </c>
      <c r="CP30" s="3" t="e">
        <f>5*CN29*POWER(AQ31,4)/(384*AS31)</f>
        <v>#VALUE!</v>
      </c>
      <c r="CQ30" s="3" t="e">
        <f>+CQ28/AX32</f>
        <v>#N/A</v>
      </c>
      <c r="CR30" s="3" t="e">
        <f>+CR28/BE32</f>
        <v>#N/A</v>
      </c>
      <c r="CS30" s="3" t="e">
        <f>+CS28/AZ32</f>
        <v>#N/A</v>
      </c>
      <c r="CT30" s="3" t="e">
        <f>+CT28/AX32</f>
        <v>#N/A</v>
      </c>
      <c r="CU30" s="3" t="e">
        <f>+CU28/BE32</f>
        <v>#N/A</v>
      </c>
      <c r="CV30" s="3" t="e">
        <f>+CV28/AZ32</f>
        <v>#N/A</v>
      </c>
    </row>
    <row r="31" spans="2:103" x14ac:dyDescent="0.15">
      <c r="B31" s="1712"/>
      <c r="C31" s="1219"/>
      <c r="D31" s="1322"/>
      <c r="E31" s="1211"/>
      <c r="F31" s="1031"/>
      <c r="G31" s="1031"/>
      <c r="H31" s="1410"/>
      <c r="I31" s="1031"/>
      <c r="J31" s="413"/>
      <c r="K31" s="464">
        <f>+I31+J31</f>
        <v>0</v>
      </c>
      <c r="L31" s="302"/>
      <c r="M31" s="594"/>
      <c r="N31" s="302"/>
      <c r="O31" s="594"/>
      <c r="P31" s="1382"/>
      <c r="Q31" s="1406"/>
      <c r="R31" s="1029"/>
      <c r="S31" s="1029"/>
      <c r="T31" s="882">
        <f>+IF(S31=0,0,6)</f>
        <v>0</v>
      </c>
      <c r="U31" s="1029"/>
      <c r="V31" s="1029"/>
      <c r="W31" s="1018">
        <f>IF(V31=0,0,+$K$170)</f>
        <v>0</v>
      </c>
      <c r="X31" s="574">
        <f>IF(V31=0,0,+VLOOKUP(W31,$I$189:$J$194,2))</f>
        <v>0</v>
      </c>
      <c r="Y31" s="324"/>
      <c r="Z31" s="324"/>
      <c r="AA31" s="324"/>
      <c r="AB31" s="324"/>
      <c r="AC31" s="463"/>
      <c r="AD31" s="325"/>
      <c r="AE31" s="302"/>
      <c r="AF31" s="324"/>
      <c r="AG31" s="325"/>
      <c r="AH31" s="325"/>
      <c r="AI31" s="594"/>
      <c r="AJ31" s="420"/>
      <c r="AK31" s="421"/>
      <c r="AL31" s="194"/>
      <c r="AP31" s="3" t="s">
        <v>983</v>
      </c>
      <c r="AQ31" s="641">
        <f>(+I31+J31)*100</f>
        <v>0</v>
      </c>
      <c r="AR31" s="615" t="s">
        <v>880</v>
      </c>
      <c r="AS31" s="642" t="e">
        <f>+VLOOKUP(VALUE(RIGHT(K27,4)),許容応力!$B$6:$K$22,10)*100</f>
        <v>#VALUE!</v>
      </c>
      <c r="AT31" s="615" t="s">
        <v>881</v>
      </c>
      <c r="AU31" s="520">
        <f>+BM30</f>
        <v>0</v>
      </c>
      <c r="AV31" s="18" t="s">
        <v>209</v>
      </c>
      <c r="AW31" s="18" t="s">
        <v>210</v>
      </c>
      <c r="AX31" s="3" t="s">
        <v>997</v>
      </c>
      <c r="AY31" s="3" t="s">
        <v>294</v>
      </c>
      <c r="AZ31" s="52" t="s">
        <v>498</v>
      </c>
      <c r="BA31" s="52" t="s">
        <v>499</v>
      </c>
      <c r="BB31" s="52" t="s">
        <v>500</v>
      </c>
      <c r="BC31" s="52" t="s">
        <v>501</v>
      </c>
      <c r="BD31" s="805" t="s">
        <v>295</v>
      </c>
      <c r="BE31" s="805" t="s">
        <v>296</v>
      </c>
      <c r="BF31" s="3" t="e">
        <f>ROUND(BI28/BL31,1)</f>
        <v>#DIV/0!</v>
      </c>
      <c r="BG31" s="3" t="e">
        <f>+IF(AW30&gt;=AW29,BJ28/AU32,BK28/AU32)</f>
        <v>#VALUE!</v>
      </c>
      <c r="BH31" s="63" t="e">
        <f>+BH30</f>
        <v>#DIV/0!</v>
      </c>
      <c r="BI31" s="3" t="e">
        <f>ROUND(BL28/BL31,1)</f>
        <v>#DIV/0!</v>
      </c>
      <c r="BJ31" s="3" t="e">
        <f>+IF(AW30&gt;=AW29,BM28/AU32,BN28/AU32)</f>
        <v>#VALUE!</v>
      </c>
      <c r="BK31" s="63" t="e">
        <f>+BK30</f>
        <v>#DIV/0!</v>
      </c>
      <c r="BL31" s="63">
        <f>IF(N28&lt;180,ROUND((N28/10-3)*POWER($N28/10-3,2)/6*IF(V28=0,1,V28),0),ROUND((N28/10-5)*POWER(N28/10-3,2)/6*IF($V28=0,1,$V28),0))</f>
        <v>-5</v>
      </c>
      <c r="BM31" s="63">
        <f>ROUND(IF(N28&lt;180,(N28/10-3)*POWER((N28/10-3),3)/12*IF(V28=0,1,V28),(N28/10-5))*POWER((N28/10-3),3)/12*IF(V28=0,1,V28),0)</f>
        <v>-15</v>
      </c>
      <c r="BN31" s="63" t="str">
        <f>IF(N28=0,"",IF(AW30&gt;=AW29,ROUND(AR29*AW30/AQ31/AG28/BB32,2),ROUNDUP(AR29*AW30/AQ31/AG28/BB32,2)))</f>
        <v/>
      </c>
      <c r="BO31" s="63" t="str">
        <f>IF(N27=0,"",IF(AW30&gt;=AW29,ROUND(AS29*AW30/AQ31/AG28/BC32,2),ROUNDUP(AS29*AW29/AQ31/AG28/BC32,2)))</f>
        <v/>
      </c>
      <c r="BQ31" s="3" t="s">
        <v>1002</v>
      </c>
      <c r="BR31" s="3">
        <f>IF(E32=0,0,+VALUE(RIGHT(E32,4)))</f>
        <v>0</v>
      </c>
      <c r="BT31" s="3" t="s">
        <v>1011</v>
      </c>
      <c r="BU31" s="3" t="e">
        <f>+BU29+BU30</f>
        <v>#N/A</v>
      </c>
      <c r="BV31" s="3" t="e">
        <f>+BV29+BV30</f>
        <v>#N/A</v>
      </c>
      <c r="BW31" s="3" t="s">
        <v>1018</v>
      </c>
      <c r="BX31" s="3" t="e">
        <f>+BU31*AQ31/2</f>
        <v>#N/A</v>
      </c>
      <c r="BY31" s="3" t="e">
        <f>5*BU31*POWER(AQ31,4)/(384*AS31)</f>
        <v>#N/A</v>
      </c>
      <c r="BZ31" s="805" t="s">
        <v>291</v>
      </c>
      <c r="CA31" s="3" t="e">
        <f>ROUND(L27/10*POWER(CA30,2)/6,0)</f>
        <v>#N/A</v>
      </c>
      <c r="CB31" s="805" t="s">
        <v>292</v>
      </c>
      <c r="CC31" s="3" t="e">
        <f>ROUND(L27/10*POWER(CA30,3)/12,0)</f>
        <v>#N/A</v>
      </c>
      <c r="CL31" s="3" t="s">
        <v>1018</v>
      </c>
      <c r="CM31" s="3">
        <f>+CM29*K31*100/2</f>
        <v>0</v>
      </c>
      <c r="CN31" s="3" t="e">
        <f>+CN29*K31*100/2</f>
        <v>#VALUE!</v>
      </c>
    </row>
    <row r="32" spans="2:103" ht="15" thickBot="1" x14ac:dyDescent="0.2">
      <c r="B32" s="1713"/>
      <c r="C32" s="1411" t="s">
        <v>1002</v>
      </c>
      <c r="D32" s="1412"/>
      <c r="E32" s="1150"/>
      <c r="F32" s="465" t="s">
        <v>1003</v>
      </c>
      <c r="G32" s="1136"/>
      <c r="H32" s="459" t="s">
        <v>1004</v>
      </c>
      <c r="I32" s="460"/>
      <c r="J32" s="466"/>
      <c r="K32" s="580"/>
      <c r="L32" s="1275"/>
      <c r="M32" s="1275"/>
      <c r="N32" s="225"/>
      <c r="O32" s="593"/>
      <c r="P32" s="593"/>
      <c r="Q32" s="593"/>
      <c r="R32" s="467"/>
      <c r="S32" s="422"/>
      <c r="T32" s="422"/>
      <c r="U32" s="423"/>
      <c r="V32" s="468"/>
      <c r="W32" s="1024">
        <f>IF(V31=0,0,+$K$169)</f>
        <v>0</v>
      </c>
      <c r="X32" s="423"/>
      <c r="Y32" s="423"/>
      <c r="Z32" s="423"/>
      <c r="AA32" s="423"/>
      <c r="AB32" s="423"/>
      <c r="AC32" s="467"/>
      <c r="AD32" s="422"/>
      <c r="AE32" s="225"/>
      <c r="AF32" s="423"/>
      <c r="AG32" s="422"/>
      <c r="AH32" s="422"/>
      <c r="AI32" s="593"/>
      <c r="AJ32" s="424"/>
      <c r="AK32" s="425"/>
      <c r="AL32" s="194"/>
      <c r="AP32" s="515" t="s">
        <v>984</v>
      </c>
      <c r="AQ32" s="3">
        <f>IF(F31=0,1,ROUND((F31+G31)/2,2))</f>
        <v>1</v>
      </c>
      <c r="AT32" s="615" t="s">
        <v>881</v>
      </c>
      <c r="AU32" s="3">
        <f>+BM31</f>
        <v>-15</v>
      </c>
      <c r="AV32" s="63">
        <f>ROUNDUP(IF(VALUE(RIGHT($G$10,3))=1,AW32*0.7,0),0)</f>
        <v>0</v>
      </c>
      <c r="AW32" s="63" t="e">
        <f>ROUNDUP(IF(VALUE(RIGHT($G$10,4))=1,$M$10*30*F27*100,$M$10*20*F27*100),0)</f>
        <v>#VALUE!</v>
      </c>
      <c r="AX32" s="10" t="e">
        <f>IF(AZ30=2,ROUND(VLOOKUP(AU30,許容応力!$B$6:$K$22,7)*1.1/3*100,0),ROUND(VLOOKUP(AU30,許容応力!$B$6:$K$22,7)*1.1/3*1.3*100,0))</f>
        <v>#VALUE!</v>
      </c>
      <c r="AY32" s="63" t="e">
        <f>ROUND(VLOOKUP(AU30,許容応力!$B$6:$K$22,7)*100*2/3*0.8,0)</f>
        <v>#VALUE!</v>
      </c>
      <c r="AZ32" s="10" t="e">
        <f>IF(AZ30=2,ROUND(VLOOKUP(AU30,許容応力!$B$6:$K$22,8)*1.1/3*100,0),ROUND(VLOOKUP(AU30,許容応力!$B$6:$K$22,8)*1.1/3*1.3*100,0))</f>
        <v>#VALUE!</v>
      </c>
      <c r="BA32" s="63" t="e">
        <f>ROUND(VLOOKUP(AU30,許容応力!$B$6:$K$22,8)*100*2/3*0.8,0)</f>
        <v>#VALUE!</v>
      </c>
      <c r="BB32" s="10" t="e">
        <f>IF(AZ30=2,ROUND(VLOOKUP(AU30,許容応力!$B$6:$K$22,9)*1.1/3*100,0),ROUND(VLOOKUP(AU30,許容応力!$B$6:$K$22,9)*1.1/3*1.3*100,0))</f>
        <v>#VALUE!</v>
      </c>
      <c r="BC32" s="63" t="e">
        <f>ROUND(VLOOKUP(AU30,許容応力!$B$6:$K$22,9)*100*2/3*0.8,0)</f>
        <v>#VALUE!</v>
      </c>
      <c r="BD32" s="63">
        <f>IF(AZ30=2,400,200)</f>
        <v>400</v>
      </c>
      <c r="BE32" s="63">
        <f>ROUND(AQ31/BD32,2)</f>
        <v>0</v>
      </c>
    </row>
    <row r="33" spans="2:103" x14ac:dyDescent="0.15">
      <c r="B33" s="1711" t="s">
        <v>1073</v>
      </c>
      <c r="C33" s="1400"/>
      <c r="D33" s="331"/>
      <c r="E33" s="1357"/>
      <c r="F33" s="1165" t="str">
        <f>IF(E33=0,"",ROUND(SQRT(COS(AU34*1.5*PI()/180)),3))</f>
        <v/>
      </c>
      <c r="G33" s="586"/>
      <c r="H33" s="586"/>
      <c r="I33" s="586"/>
      <c r="J33" s="586"/>
      <c r="K33" s="1575"/>
      <c r="L33" s="1654"/>
      <c r="M33" s="1229">
        <f>+IF(L33=0,0,"×")</f>
        <v>0</v>
      </c>
      <c r="N33" s="1295">
        <f>IF(L33=0,0,BB33)</f>
        <v>0</v>
      </c>
      <c r="O33" s="1296" t="str">
        <f>IF(W33=+"","",IF(AND(W33&lt;=1,X33&lt;=1,Z33&lt;=1,AA33&lt;=1),"OK!","NO!"))</f>
        <v/>
      </c>
      <c r="P33" s="1296">
        <f>IF(T33=0,0,IF(AND(Y33=0,AB33=0),0,IF(IF(Y33&gt;=AB33,Y33,AB33)&lt;=1,"OK!","NO!")))</f>
        <v>0</v>
      </c>
      <c r="Q33" s="1659"/>
      <c r="R33" s="1269"/>
      <c r="S33" s="1709">
        <f>IF(R33=0,0,+BR33)</f>
        <v>0</v>
      </c>
      <c r="T33" s="1253">
        <f>IF(AND(R33=0,V37=0),0,IF(S33=0,ROUND($L$181*$AR$10*X37/100,2),ROUNDUP(POWER(R33*S33,2)/(L33/10*IF(Q33=0,N33/10,Q33/10)),2)))</f>
        <v>0</v>
      </c>
      <c r="U33" s="1257">
        <f>IF(R33=0,0,IF(BH36&gt;=BK36,BH36,BK36))</f>
        <v>0</v>
      </c>
      <c r="V33" s="1652"/>
      <c r="W33" s="1257" t="str">
        <f>IF(N33=0,"",ROUNDUP(BF36/AX38,2))</f>
        <v/>
      </c>
      <c r="X33" s="1257" t="str">
        <f>IF(N33=0,"",ROUND(BG36/BE38,2))</f>
        <v/>
      </c>
      <c r="Y33" s="1257">
        <f>IF(K33=0,0,IF(AND(R33=0,V37=0),0,IF(R33=0,ROUNDUP(CF33/(AZ38*$L$181*$AR$10*X37/100),2),+BS34)))</f>
        <v>0</v>
      </c>
      <c r="Z33" s="1257" t="str">
        <f>IF(N33=0,"",ROUNDUP(BI36/AY38,2))</f>
        <v/>
      </c>
      <c r="AA33" s="1257" t="str">
        <f>IF(N33=0,"",ROUNDUP(BJ36/BE38,2))</f>
        <v/>
      </c>
      <c r="AB33" s="1257">
        <f>IF(K33=0,0,IF(AND(R33=0,V37=0),0,IF(R33=0,ROUNDUP(CG33/(BA38*$L$181*$AR$10*X37/100),2),+BT34)))</f>
        <v>0</v>
      </c>
      <c r="AC33" s="158"/>
      <c r="AD33" s="426"/>
      <c r="AE33" s="430"/>
      <c r="AF33" s="428"/>
      <c r="AG33" s="1253">
        <f>IF(AC33=0,0,ROUND(AC33*AD33+AE33*AF33+AC34*AD34+AE34*AF34,2))</f>
        <v>0</v>
      </c>
      <c r="AH33" s="1253" t="str">
        <f>IF(AD33=0,"",IF(AN33=1,AM33/(AR10*X37),AM33))</f>
        <v/>
      </c>
      <c r="AI33" s="1255" t="str">
        <f>IF(AH33=+"","",IF(AH33&lt;=1,"OK!","NO!"))</f>
        <v/>
      </c>
      <c r="AJ33" s="1695">
        <f>+IF(I37=0,0,"1/")</f>
        <v>0</v>
      </c>
      <c r="AK33" s="1696">
        <f>IF(I37=0,0,+BD38)</f>
        <v>0</v>
      </c>
      <c r="AL33" s="194"/>
      <c r="AM33" s="3" t="e">
        <f>+IF(BN36&gt;=BO36,BN36+CW35,BO36+CX35)</f>
        <v>#VALUE!</v>
      </c>
      <c r="AN33" s="3">
        <f>IF(P37=0,0,+VALUE(RIGHT(P37,4)))</f>
        <v>0</v>
      </c>
      <c r="AO33" s="515" t="s">
        <v>878</v>
      </c>
      <c r="AP33" s="3">
        <f>ROUND((G34+H34)/2,2)</f>
        <v>0</v>
      </c>
      <c r="AR33" s="349" t="s">
        <v>707</v>
      </c>
      <c r="AS33" s="349" t="s">
        <v>703</v>
      </c>
      <c r="AT33" s="520" t="s">
        <v>241</v>
      </c>
      <c r="AU33" s="17" t="s">
        <v>83</v>
      </c>
      <c r="AV33" s="63" t="e">
        <f t="shared" ref="AV33:BA33" si="6">ROUNDUP(BC33/3,-1)*3</f>
        <v>#DIV/0!</v>
      </c>
      <c r="AW33" s="63" t="e">
        <f t="shared" si="6"/>
        <v>#VALUE!</v>
      </c>
      <c r="AX33" s="63" t="e">
        <f t="shared" si="6"/>
        <v>#VALUE!</v>
      </c>
      <c r="AY33" s="63" t="e">
        <f t="shared" si="6"/>
        <v>#DIV/0!</v>
      </c>
      <c r="AZ33" s="63" t="e">
        <f t="shared" si="6"/>
        <v>#VALUE!</v>
      </c>
      <c r="BA33" s="63" t="e">
        <f t="shared" si="6"/>
        <v>#VALUE!</v>
      </c>
      <c r="BB33" s="155" t="e">
        <f>+MAX(AV33:BA33)</f>
        <v>#DIV/0!</v>
      </c>
      <c r="BC33" s="63" t="e">
        <f>ROUND(SQRT(ROUND(BI33/AX38*6/(L33/10)/IF(V33=0,1,V33),1))*10,0)</f>
        <v>#DIV/0!</v>
      </c>
      <c r="BD33" s="3" t="e">
        <f>POWER(ROUNDUP(BJ33/(L33/10)*12,0)/IF(V33=0,1,V33)/BE38,1/3)*10</f>
        <v>#VALUE!</v>
      </c>
      <c r="BE33" s="3" t="e">
        <f>POWER(ROUND(BK33/(L33/10)*12,0)/IF(V33=0,1,V33)/BE38,1/3)*10</f>
        <v>#VALUE!</v>
      </c>
      <c r="BF33" s="63" t="e">
        <f>ROUND(SQRT(ROUND(BL33/AY38*6/(L33/10)/IF(V33=0,1,V33),1))*10,2)</f>
        <v>#DIV/0!</v>
      </c>
      <c r="BG33" s="3" t="e">
        <f>POWER(ROUND(BM33/(L33/10)*12,0)/IF(V33=0,1,V33)/BE38,1/3)*10</f>
        <v>#VALUE!</v>
      </c>
      <c r="BH33" s="3" t="e">
        <f>POWER(ROUND(BN33/(L33/10)*12,0)/IF(V33=0,1,V33)/BE38,1/3)*10</f>
        <v>#VALUE!</v>
      </c>
      <c r="BI33" s="63" t="e">
        <f>ROUNDUP(AW36*AW35/AQ37*AR35,1)+BX36+CM36</f>
        <v>#DIV/0!</v>
      </c>
      <c r="BJ33" s="63" t="e">
        <f>AR35*AW35*SQRT(POWER(BA35-AY35,3))/(9*SQRT(3)*AS37*(AW35+AW36))+BY37+CO36</f>
        <v>#VALUE!</v>
      </c>
      <c r="BK33" s="63" t="e">
        <f>AR35*AW36*SQRT(POWER(BA35-AY36,3))/(9*SQRT(3)*AS37*(AW35+AW36))+BY37+CO36</f>
        <v>#VALUE!</v>
      </c>
      <c r="BL33" s="63" t="e">
        <f>ROUNDUP(AW36*AW35/AQ37*AS35,1)+BX36+CN36</f>
        <v>#DIV/0!</v>
      </c>
      <c r="BM33" s="63" t="e">
        <f>AS35*AW35*SQRT(POWER(BA35-AY35,3))/(9*SQRT(3)*AS37*(AW35+AW36))+BY37+CO36</f>
        <v>#VALUE!</v>
      </c>
      <c r="BN33" s="63" t="e">
        <f>AS35*AW36*SQRT(POWER(BA35-AY36,3))/(9*SQRT(3)*AS37*(AW35+AW36))+BY37+CP36</f>
        <v>#VALUE!</v>
      </c>
      <c r="BO33" s="9" t="e">
        <f>IF(AW36&gt;=AW35,ROUNDUP(AR35*AW36/AQ37/BB38,2),ROUNDUP(AR35*AW35/AQ37/BB38,2))</f>
        <v>#DIV/0!</v>
      </c>
      <c r="BP33" s="9" t="e">
        <f>IF(AW36&gt;=AW35,ROUNDUP(AS35*AW36/AQ37/BC38,2),ROUNDUP(AS35*AW35/AQ37/BC38,2))</f>
        <v>#VALUE!</v>
      </c>
      <c r="BQ33" s="23" t="e">
        <f>IF(BO33&gt;=BP33,BO33,BP33)</f>
        <v>#DIV/0!</v>
      </c>
      <c r="BR33" s="9">
        <f>IF(N33=0,0,ROUNDUP(SQRT((U33*L33/10*N33/10)/(R33*R33)),2))</f>
        <v>0</v>
      </c>
      <c r="BS33" s="805" t="s">
        <v>473</v>
      </c>
      <c r="BT33" s="63" t="s">
        <v>474</v>
      </c>
      <c r="BU33" s="63" t="s">
        <v>201</v>
      </c>
      <c r="BV33" s="63" t="s">
        <v>202</v>
      </c>
      <c r="BW33" s="3">
        <v>1</v>
      </c>
      <c r="BX33" s="3">
        <v>2</v>
      </c>
      <c r="BY33" s="3">
        <v>3</v>
      </c>
      <c r="BZ33" s="3">
        <v>4</v>
      </c>
      <c r="CA33" s="3">
        <v>5</v>
      </c>
      <c r="CB33" s="3">
        <v>6</v>
      </c>
      <c r="CF33" s="442" t="e">
        <f>ROUND(IF($AW36&gt;=$AW35,$AW36,$AW35)/$AQ37*$AR35,1)+BX37+CM37</f>
        <v>#DIV/0!</v>
      </c>
      <c r="CG33" s="442" t="e">
        <f>ROUND(IF($AW36&gt;=$AW35,$AW36,$AW35)/$AQ37*$AS35,1)+BX37+CN37</f>
        <v>#DIV/0!</v>
      </c>
      <c r="CH33" s="443" t="e">
        <f>+AV33+CF36</f>
        <v>#DIV/0!</v>
      </c>
      <c r="CI33" s="548" t="e">
        <f>+AW33+CG36</f>
        <v>#VALUE!</v>
      </c>
      <c r="CJ33" s="548" t="e">
        <f>+AY33+CF36</f>
        <v>#DIV/0!</v>
      </c>
      <c r="CK33" s="548" t="e">
        <f>+AZ33+CG36</f>
        <v>#VALUE!</v>
      </c>
      <c r="CL33" s="545" t="e">
        <f>MAX(CH33:CK33)</f>
        <v>#DIV/0!</v>
      </c>
      <c r="CM33" s="63" t="s">
        <v>201</v>
      </c>
      <c r="CN33" s="63" t="s">
        <v>202</v>
      </c>
      <c r="CQ33" s="412" t="s">
        <v>1013</v>
      </c>
      <c r="CR33" s="349" t="s">
        <v>1014</v>
      </c>
      <c r="CS33" s="412" t="s">
        <v>1015</v>
      </c>
      <c r="CT33" s="412" t="s">
        <v>1013</v>
      </c>
      <c r="CU33" s="349" t="s">
        <v>1014</v>
      </c>
      <c r="CV33" s="412" t="s">
        <v>1015</v>
      </c>
      <c r="CW33" s="3" t="s">
        <v>1223</v>
      </c>
      <c r="CX33" s="3" t="s">
        <v>1224</v>
      </c>
      <c r="CY33" s="1253">
        <f>IF(AND(R33=0,V37=0),0,IF(S33=0,L$181*AR10*X37/100,ROUND(POWER(R33*S33,2)/(L33/10*N33/10),2)))</f>
        <v>0</v>
      </c>
    </row>
    <row r="34" spans="2:103" x14ac:dyDescent="0.15">
      <c r="B34" s="1712"/>
      <c r="C34" s="1400"/>
      <c r="D34" s="330"/>
      <c r="E34" s="1357"/>
      <c r="F34" s="1166"/>
      <c r="G34" s="1028"/>
      <c r="H34" s="1028"/>
      <c r="I34" s="1028"/>
      <c r="J34" s="1028"/>
      <c r="K34" s="1672"/>
      <c r="L34" s="1653"/>
      <c r="M34" s="1289"/>
      <c r="N34" s="1258"/>
      <c r="O34" s="1392"/>
      <c r="P34" s="1392"/>
      <c r="Q34" s="1660"/>
      <c r="R34" s="1507"/>
      <c r="S34" s="1270"/>
      <c r="T34" s="1254"/>
      <c r="U34" s="1254"/>
      <c r="V34" s="1653"/>
      <c r="W34" s="1258"/>
      <c r="X34" s="1258"/>
      <c r="Y34" s="1254"/>
      <c r="Z34" s="1258"/>
      <c r="AA34" s="1258"/>
      <c r="AB34" s="1254"/>
      <c r="AC34" s="414"/>
      <c r="AD34" s="427"/>
      <c r="AE34" s="431"/>
      <c r="AF34" s="429"/>
      <c r="AG34" s="1254"/>
      <c r="AH34" s="1254"/>
      <c r="AI34" s="1256"/>
      <c r="AJ34" s="1284"/>
      <c r="AK34" s="1524"/>
      <c r="AL34" s="194"/>
      <c r="AO34" s="515" t="s">
        <v>879</v>
      </c>
      <c r="AP34" s="3">
        <f>ROUND((I34+J34)/2,2)</f>
        <v>0</v>
      </c>
      <c r="AQ34" s="479" t="s">
        <v>877</v>
      </c>
      <c r="AR34" s="632">
        <f>+準備!G57+AV38</f>
        <v>850</v>
      </c>
      <c r="AS34" s="632" t="e">
        <f>+準備!G57+AW38</f>
        <v>#VALUE!</v>
      </c>
      <c r="AT34" s="3">
        <f>+IF(OR(V34=0,V34=1),1,V34)</f>
        <v>1</v>
      </c>
      <c r="AU34" s="69">
        <f>ROUND(ATAN(E33/10)*180/PI(),4)</f>
        <v>0</v>
      </c>
      <c r="AV34" s="63" t="e">
        <f>IF(V34=0.8,VLOOKUP(BC34,$AR$398:$AS$443,2),IF(V34=0.9,VLOOKUP(BC34,$AR$351:$AS$396,2),VLOOKUP(BC34,$AR$304:$AS$349,2)))</f>
        <v>#DIV/0!</v>
      </c>
      <c r="AW34" s="63" t="e">
        <f>IF(V34=0.8,VLOOKUP(BD34,$AT$398:$AU$443,2),IF(V34=0.9,VLOOKUP(BD34,$AT$351:$AU$396,2),VLOOKUP(BD34,$AT$304:$AU$349,2)))</f>
        <v>#VALUE!</v>
      </c>
      <c r="AX34" s="63" t="e">
        <f>IF(V34=0.8,VLOOKUP(BE34,$AT$398:$AU$443,2),IF(V34=0.9,VLOOKUP(BE34,$AT$351:$AU$396,2),VLOOKUP(BE34,$AT$304:$AU$349,2)))</f>
        <v>#VALUE!</v>
      </c>
      <c r="AY34" s="63" t="e">
        <f>IF(V34=0.8,VLOOKUP(BF34,$AR$398:$AS$443,2),IF(V34=0.9,VLOOKUP(BF34,$AR$351:$AS$396,2),VLOOKUP(BF34,$AR$304:$AS$349,2)))</f>
        <v>#DIV/0!</v>
      </c>
      <c r="AZ34" s="63" t="e">
        <f>IF(V34=0.8,VLOOKUP(BG34,$AT$398:$AU$443,2),IF(V34=0.9,VLOOKUP(BG34,$AT$351:$AU$396,2),VLOOKUP(BG34,$AT$304:$AU$349,2)))</f>
        <v>#VALUE!</v>
      </c>
      <c r="BA34" s="63" t="e">
        <f>IF(V34=0.8,VLOOKUP(BH34,$AT$398:$AU$443,2),IF(V34=0.9,VLOOKUP(BH34,$AT$351:$AU$396,2),VLOOKUP(BH34,$AT$304:$AU$349,2)))</f>
        <v>#VALUE!</v>
      </c>
      <c r="BB34" s="155" t="e">
        <f>+MAX(AV34:BA34)</f>
        <v>#DIV/0!</v>
      </c>
      <c r="BC34" s="63" t="e">
        <f>ROUNDUP(BI34/AX38/IF(V34=0,1,V34),1)</f>
        <v>#DIV/0!</v>
      </c>
      <c r="BD34" s="63" t="e">
        <f>ROUNDUP(AR35*AW35*BE35/(9*SQRT(3)*AS37*AQ37*BE38)/AT34,2)</f>
        <v>#VALUE!</v>
      </c>
      <c r="BE34" s="63" t="e">
        <f>ROUNDUP(AR35*AW35*BE35/(9*SQRT(3)*AS37*AQ37*BE38)/AT34,2)</f>
        <v>#VALUE!</v>
      </c>
      <c r="BF34" s="63" t="e">
        <f>ROUNDUP(BL34/AY38/IF(V34=0,1,V34),1)</f>
        <v>#DIV/0!</v>
      </c>
      <c r="BG34" s="63" t="e">
        <f>ROUNDUP(AS35*AW35*BE35/(9*SQRT(3)*AS37*AQ37*BE38)/AT34,2)</f>
        <v>#VALUE!</v>
      </c>
      <c r="BH34" s="63" t="e">
        <f>ROUNDUP(AS35*AW36*BE35/(9*SQRT(3)*AS37*AQ37*BE38)/AT34,2)</f>
        <v>#VALUE!</v>
      </c>
      <c r="BI34" s="63" t="e">
        <f>ROUNDUP(AW35*AW36/AQ37*AR35,1)+BX36+CM36</f>
        <v>#DIV/0!</v>
      </c>
      <c r="BJ34" s="63" t="e">
        <f>+BJ33</f>
        <v>#VALUE!</v>
      </c>
      <c r="BK34" s="63" t="e">
        <f>+BK33</f>
        <v>#VALUE!</v>
      </c>
      <c r="BL34" s="63" t="e">
        <f>+BL33</f>
        <v>#DIV/0!</v>
      </c>
      <c r="BM34" s="63" t="e">
        <f>+BM33</f>
        <v>#VALUE!</v>
      </c>
      <c r="BN34" s="63" t="e">
        <f>+BN33</f>
        <v>#VALUE!</v>
      </c>
      <c r="BO34" s="9" t="e">
        <f>IF(AW36&gt;=AW35,ROUNDUP(AR35*AW36/AQ37/BB38,2),ROUNDUP(AR35*AW35/AQ37/BB38,2))</f>
        <v>#DIV/0!</v>
      </c>
      <c r="BP34" s="9" t="e">
        <f>IF(AW36&gt;=AW35,ROUNDUP(AS35*AW36/AQ37/BC38,2),ROUNDUP(AS35*AW35/AQ37/BC38,2))</f>
        <v>#VALUE!</v>
      </c>
      <c r="BQ34" s="23" t="e">
        <f>IF(BO34&gt;=BP34,BO34,BP34)</f>
        <v>#DIV/0!</v>
      </c>
      <c r="BR34" s="9">
        <f>IF(N34=0,0,ROUNDUP(SQRT(IF(Q34=0,(U34*(N34/10-5)*(N34/10-3)),(U34*(Q34/10-5)*(Q34/10-3)))/(R34*R34)),2))</f>
        <v>0</v>
      </c>
      <c r="BS34" s="63" t="str">
        <f>IF(N33=0,"",ROUND(CF33/(AZ38*T33),2))</f>
        <v/>
      </c>
      <c r="BT34" s="63" t="str">
        <f>IF(N33=0,"",ROUND(CG33/(BA38*T33),1))</f>
        <v/>
      </c>
      <c r="BU34" s="805" t="s">
        <v>269</v>
      </c>
      <c r="BV34" s="805" t="s">
        <v>269</v>
      </c>
      <c r="BW34" s="632">
        <f>+準備!$G$20/100</f>
        <v>4.5</v>
      </c>
      <c r="BX34" s="632">
        <f>+準備!$G$24/100</f>
        <v>11</v>
      </c>
      <c r="BY34" s="632">
        <f>+準備!$G$28/100</f>
        <v>14</v>
      </c>
      <c r="BZ34" s="632">
        <f>+準備!$G$32/100</f>
        <v>17.5</v>
      </c>
      <c r="CA34" s="632">
        <f>+準備!$G$36/100</f>
        <v>17.5</v>
      </c>
      <c r="CB34" s="632">
        <f>+準備!$G$38/100</f>
        <v>4</v>
      </c>
      <c r="CF34" s="548" t="e">
        <f>+IF($AW36&gt;=$AW35,$AW36*$AR35/($K37*100)+BX37,$AW35*$AR35/($K37*100)+BX37+CM37)</f>
        <v>#DIV/0!</v>
      </c>
      <c r="CG34" s="548" t="e">
        <f>+IF($AW36&gt;=$AW35,$AW36*$AS35/($K37*100)+BX37,$AW35*$AS35/($K37*100)+BX37+CN37)</f>
        <v>#VALUE!</v>
      </c>
      <c r="CH34" s="548" t="e">
        <f>+AV34+CF36</f>
        <v>#DIV/0!</v>
      </c>
      <c r="CI34" s="548" t="e">
        <f>+AW34+CG36</f>
        <v>#VALUE!</v>
      </c>
      <c r="CJ34" s="548" t="e">
        <f>+AY34+CF36</f>
        <v>#DIV/0!</v>
      </c>
      <c r="CK34" s="548" t="e">
        <f>+AZ34+CG36</f>
        <v>#VALUE!</v>
      </c>
      <c r="CL34" s="545" t="e">
        <f>MAX(CH34:CK34)</f>
        <v>#DIV/0!</v>
      </c>
      <c r="CM34" s="805" t="s">
        <v>269</v>
      </c>
      <c r="CN34" s="805" t="s">
        <v>269</v>
      </c>
      <c r="CO34" s="3" t="s">
        <v>189</v>
      </c>
      <c r="CQ34" s="3" t="e">
        <f>IF($BX36=0,0,ROUND(($BX36+$CM36)/$CA37,1))</f>
        <v>#N/A</v>
      </c>
      <c r="CR34" s="3" t="e">
        <f>IF($BY37=0,0,ROUND(($BY37+$CO36)/$CC37,2))</f>
        <v>#N/A</v>
      </c>
      <c r="CS34" s="3" t="e">
        <f>IF($BX37=0,0,ROUND(($BX37+$CM37)/$T33,1))</f>
        <v>#N/A</v>
      </c>
      <c r="CT34" s="3" t="e">
        <f>IF($BX36=0,0,ROUND(($BX36+$CN36)/$CA37,1))</f>
        <v>#N/A</v>
      </c>
      <c r="CU34" s="3" t="e">
        <f>IF($BY37=0,0,ROUND(($BY37+$CP36)/$CC37,2))</f>
        <v>#N/A</v>
      </c>
      <c r="CV34" s="3" t="e">
        <f>IF($BX37=0,0,ROUND(($BX37+$CN37)/$T33,1))</f>
        <v>#N/A</v>
      </c>
      <c r="CW34" s="3" t="e">
        <f>ROUND(VLOOKUP(VALUE(RIGHT($K33,4)),許容応力!$B$6:$K$22,9)*1.1/3*100,0)</f>
        <v>#VALUE!</v>
      </c>
      <c r="CX34" s="3" t="e">
        <f>ROUND(VLOOKUP(VALUE(RIGHT($K33,4)),許容応力!$B$6:$K$22,9)*2/3*0.8*100,0)</f>
        <v>#VALUE!</v>
      </c>
      <c r="CY34" s="1272"/>
    </row>
    <row r="35" spans="2:103" ht="14.25" customHeight="1" x14ac:dyDescent="0.15">
      <c r="B35" s="1712"/>
      <c r="C35" s="1217" t="s">
        <v>980</v>
      </c>
      <c r="D35" s="1403" t="s">
        <v>961</v>
      </c>
      <c r="E35" s="1404"/>
      <c r="F35" s="1407" t="s">
        <v>964</v>
      </c>
      <c r="G35" s="1408"/>
      <c r="H35" s="1239" t="s">
        <v>970</v>
      </c>
      <c r="I35" s="1215" t="s">
        <v>967</v>
      </c>
      <c r="J35" s="1397"/>
      <c r="K35" s="461"/>
      <c r="L35" s="451"/>
      <c r="M35" s="450"/>
      <c r="N35" s="451"/>
      <c r="O35" s="450"/>
      <c r="P35" s="451"/>
      <c r="Q35" s="878"/>
      <c r="R35" s="1307" t="s">
        <v>1154</v>
      </c>
      <c r="S35" s="1308"/>
      <c r="T35" s="1308"/>
      <c r="U35" s="1308"/>
      <c r="V35" s="1308"/>
      <c r="W35" s="1308"/>
      <c r="X35" s="1621"/>
      <c r="Y35" s="453"/>
      <c r="Z35" s="453"/>
      <c r="AA35" s="453"/>
      <c r="AB35" s="453"/>
      <c r="AC35" s="462"/>
      <c r="AD35" s="452"/>
      <c r="AE35" s="451"/>
      <c r="AF35" s="453"/>
      <c r="AG35" s="452"/>
      <c r="AH35" s="452"/>
      <c r="AI35" s="450"/>
      <c r="AJ35" s="454"/>
      <c r="AK35" s="455"/>
      <c r="AL35" s="194"/>
      <c r="AO35" s="637" t="s">
        <v>958</v>
      </c>
      <c r="AQ35" s="638" t="s">
        <v>994</v>
      </c>
      <c r="AR35" s="3">
        <f>ROUND(AR34*AP33*AP34,0)</f>
        <v>0</v>
      </c>
      <c r="AS35" s="3" t="e">
        <f>ROUND(AS34*AP33*AP34,0)</f>
        <v>#VALUE!</v>
      </c>
      <c r="AT35" s="639" t="e">
        <f>+VALUE(RIGHT(K33,4))</f>
        <v>#VALUE!</v>
      </c>
      <c r="AU35" s="639" t="e">
        <f>+VLOOKUP(VALUE(RIGHT(K33,4)),$G$387:$J$397,3)</f>
        <v>#VALUE!</v>
      </c>
      <c r="AV35" s="377" t="s">
        <v>986</v>
      </c>
      <c r="AW35" s="640">
        <f>+J37*100</f>
        <v>0</v>
      </c>
      <c r="AX35" s="3" t="s">
        <v>988</v>
      </c>
      <c r="AY35" s="3">
        <f>+POWER(AW35,2)</f>
        <v>0</v>
      </c>
      <c r="AZ35" s="3" t="s">
        <v>990</v>
      </c>
      <c r="BA35" s="3">
        <f>+POWER(AQ37,2)</f>
        <v>0</v>
      </c>
      <c r="BB35" s="3" t="s">
        <v>999</v>
      </c>
      <c r="BC35" s="3">
        <f>+BA35-AY35</f>
        <v>0</v>
      </c>
      <c r="BD35" s="3" t="s">
        <v>992</v>
      </c>
      <c r="BE35" s="3">
        <f>SQRT(+POWER(BC35,3))</f>
        <v>0</v>
      </c>
      <c r="BF35" s="52" t="s">
        <v>287</v>
      </c>
      <c r="BG35" s="805" t="s">
        <v>288</v>
      </c>
      <c r="BH35" s="52" t="s">
        <v>490</v>
      </c>
      <c r="BI35" s="52" t="s">
        <v>289</v>
      </c>
      <c r="BJ35" s="805" t="s">
        <v>290</v>
      </c>
      <c r="BK35" s="52" t="s">
        <v>493</v>
      </c>
      <c r="BL35" s="805" t="s">
        <v>291</v>
      </c>
      <c r="BM35" s="805" t="s">
        <v>292</v>
      </c>
      <c r="BN35" s="412" t="s">
        <v>1020</v>
      </c>
      <c r="BO35" s="412" t="s">
        <v>1021</v>
      </c>
      <c r="BS35" s="63" t="str">
        <f>+BS34</f>
        <v/>
      </c>
      <c r="BT35" s="63" t="str">
        <f>+BT34</f>
        <v/>
      </c>
      <c r="BU35" s="87" t="e">
        <f>IF(OR(BR36=0,BR36=1),0,ROUNDUP((準備!$G$60/100+準備!$D$48/100)*((F37+G37)/2*100)/200,2))</f>
        <v>#N/A</v>
      </c>
      <c r="BV35" s="87" t="e">
        <f>+BU35</f>
        <v>#N/A</v>
      </c>
      <c r="BW35" s="3">
        <f t="shared" ref="BW35:CB35" si="7">ROUND(BW34*$I38,2)</f>
        <v>0</v>
      </c>
      <c r="BX35" s="3">
        <f t="shared" si="7"/>
        <v>0</v>
      </c>
      <c r="BY35" s="3">
        <f t="shared" si="7"/>
        <v>0</v>
      </c>
      <c r="BZ35" s="3">
        <f t="shared" si="7"/>
        <v>0</v>
      </c>
      <c r="CA35" s="3">
        <f t="shared" si="7"/>
        <v>0</v>
      </c>
      <c r="CB35" s="3">
        <f t="shared" si="7"/>
        <v>0</v>
      </c>
      <c r="CF35" s="412" t="s">
        <v>1065</v>
      </c>
      <c r="CG35" s="349" t="s">
        <v>1066</v>
      </c>
      <c r="CH35" s="412" t="s">
        <v>1067</v>
      </c>
      <c r="CM35" s="87">
        <f>IF(OR($BR36=0,$BR36=1),0,ROUND((準備!$G$6+$AV38)*$G37/200,2))</f>
        <v>0</v>
      </c>
      <c r="CN35" s="87" t="e">
        <f>IF(OR($BR36=0,$BR36=1),0,ROUND((準備!$G$6+$AW38)*$G37/200,2))</f>
        <v>#VALUE!</v>
      </c>
      <c r="CO35" s="3" t="s">
        <v>168</v>
      </c>
      <c r="CP35" s="3" t="s">
        <v>203</v>
      </c>
      <c r="CQ35" s="412" t="s">
        <v>1065</v>
      </c>
      <c r="CR35" s="349" t="s">
        <v>1066</v>
      </c>
      <c r="CS35" s="412" t="s">
        <v>1067</v>
      </c>
      <c r="CT35" s="412" t="s">
        <v>1065</v>
      </c>
      <c r="CU35" s="349" t="s">
        <v>1066</v>
      </c>
      <c r="CV35" s="412" t="s">
        <v>1067</v>
      </c>
      <c r="CW35" s="3" t="e">
        <f>ROUND($CM$17*K37*100/2/CW34/AG33,2)</f>
        <v>#VALUE!</v>
      </c>
      <c r="CX35" s="3" t="e">
        <f>ROUND(CN35*K37*100/2/CX34/AG33,2)</f>
        <v>#VALUE!</v>
      </c>
    </row>
    <row r="36" spans="2:103" x14ac:dyDescent="0.15">
      <c r="B36" s="1712"/>
      <c r="C36" s="1402"/>
      <c r="D36" s="1405"/>
      <c r="E36" s="1406"/>
      <c r="F36" s="652" t="s">
        <v>971</v>
      </c>
      <c r="G36" s="653" t="s">
        <v>1071</v>
      </c>
      <c r="H36" s="1409"/>
      <c r="I36" s="586" t="s">
        <v>981</v>
      </c>
      <c r="J36" s="592" t="s">
        <v>982</v>
      </c>
      <c r="K36" s="440" t="s">
        <v>1011</v>
      </c>
      <c r="L36" s="592" t="s">
        <v>1071</v>
      </c>
      <c r="M36" s="456" t="s">
        <v>1072</v>
      </c>
      <c r="N36" s="457"/>
      <c r="O36" s="876"/>
      <c r="P36" s="1342"/>
      <c r="Q36" s="1406"/>
      <c r="R36" s="877" t="s">
        <v>1265</v>
      </c>
      <c r="S36" s="877" t="s">
        <v>1266</v>
      </c>
      <c r="T36" s="877" t="s">
        <v>1267</v>
      </c>
      <c r="U36" s="877" t="s">
        <v>1260</v>
      </c>
      <c r="V36" s="877" t="s">
        <v>1268</v>
      </c>
      <c r="W36" s="440" t="s">
        <v>1151</v>
      </c>
      <c r="X36" s="440" t="s">
        <v>1153</v>
      </c>
      <c r="Y36" s="324"/>
      <c r="Z36" s="324"/>
      <c r="AA36" s="324"/>
      <c r="AB36" s="324"/>
      <c r="AC36" s="463"/>
      <c r="AD36" s="325"/>
      <c r="AE36" s="302"/>
      <c r="AF36" s="324"/>
      <c r="AG36" s="325"/>
      <c r="AH36" s="325"/>
      <c r="AI36" s="594"/>
      <c r="AJ36" s="420"/>
      <c r="AK36" s="421"/>
      <c r="AL36" s="194"/>
      <c r="AP36" s="3" t="s">
        <v>790</v>
      </c>
      <c r="AQ36" s="3">
        <f>+L33</f>
        <v>0</v>
      </c>
      <c r="AR36" s="3" t="s">
        <v>985</v>
      </c>
      <c r="AS36" s="3">
        <f>+N33</f>
        <v>0</v>
      </c>
      <c r="AT36" s="3" t="s">
        <v>15</v>
      </c>
      <c r="AU36" s="3" t="e">
        <f>+VALUE(RIGHT(K33,4))</f>
        <v>#VALUE!</v>
      </c>
      <c r="AV36" s="377" t="s">
        <v>987</v>
      </c>
      <c r="AW36" s="640">
        <f>+I37*100</f>
        <v>0</v>
      </c>
      <c r="AX36" s="3" t="s">
        <v>989</v>
      </c>
      <c r="AY36" s="3">
        <f>+POWER(AW36,2)</f>
        <v>0</v>
      </c>
      <c r="AZ36" s="409">
        <f>+VALUE(RIGHT($G$10,3))</f>
        <v>2</v>
      </c>
      <c r="BB36" s="3" t="s">
        <v>991</v>
      </c>
      <c r="BC36" s="3">
        <f>+BA35-AY36</f>
        <v>0</v>
      </c>
      <c r="BD36" s="3" t="s">
        <v>993</v>
      </c>
      <c r="BE36" s="3">
        <f>SQRT(+POWER(BC36,3))</f>
        <v>0</v>
      </c>
      <c r="BF36" s="3" t="e">
        <f>ROUND((BI33)/BL36,1)</f>
        <v>#DIV/0!</v>
      </c>
      <c r="BG36" s="3" t="e">
        <f>+IF(AW36&gt;=AW35,BJ33/AU37,BK33/AU37)</f>
        <v>#VALUE!</v>
      </c>
      <c r="BH36" s="63" t="e">
        <f>+CF33/AZ38</f>
        <v>#DIV/0!</v>
      </c>
      <c r="BI36" s="3" t="e">
        <f>ROUND(BL33/BL36,1)</f>
        <v>#DIV/0!</v>
      </c>
      <c r="BJ36" s="3" t="e">
        <f>+IF(AW36&gt;=AW35,BM33/AU37,BN33/AU37)</f>
        <v>#VALUE!</v>
      </c>
      <c r="BK36" s="63" t="e">
        <f>+CG33/BA38</f>
        <v>#DIV/0!</v>
      </c>
      <c r="BL36" s="63">
        <f>ROUNDDOWN(L33/10*POWER(N33/10,2)/6*IF(OR(V33=0,V33=1),1,V33),0)</f>
        <v>0</v>
      </c>
      <c r="BM36" s="63">
        <f>ROUNDDOWN(L33/10*POWER(N33/10,3)/12*IF(OR(V33=0,V33=1),1,V33),0)</f>
        <v>0</v>
      </c>
      <c r="BN36" s="63" t="str">
        <f>IF(N33=0,"",IF(AW36&gt;=AW35,ROUND(AR35*AW36/AQ37/AG33/BB38,2),ROUNDUP(AR35*AW35/AQ37/AG33/BB38,2)))</f>
        <v/>
      </c>
      <c r="BO36" s="63" t="str">
        <f>IF(N33=0,"",IF(AW36&gt;=AW35,ROUND(AS35*AW36/AQ37/AG33/BC38,2),ROUNDUP(AS35*AW35/AQ37/AG33/BC38,2)))</f>
        <v/>
      </c>
      <c r="BQ36" s="3" t="s">
        <v>1012</v>
      </c>
      <c r="BR36" s="3">
        <f>IF(D35=0,0,+VALUE(RIGHT(D35,4)))</f>
        <v>2</v>
      </c>
      <c r="BS36" s="3" t="s">
        <v>1003</v>
      </c>
      <c r="BT36" s="3">
        <f>IF(G38=0,0,+VALUE(RIGHT(G38,4)))</f>
        <v>0</v>
      </c>
      <c r="BU36" s="3">
        <f>IF(OR(BR37=0,BR37=2),0,HLOOKUP(BT36,BW33:CB35,3))</f>
        <v>0</v>
      </c>
      <c r="BV36" s="3">
        <f>+BU36</f>
        <v>0</v>
      </c>
      <c r="BW36" s="3" t="s">
        <v>1019</v>
      </c>
      <c r="BX36" s="3" t="e">
        <f>BU37*POWER(AQ37,2)/8</f>
        <v>#N/A</v>
      </c>
      <c r="BY36" s="3" t="s">
        <v>189</v>
      </c>
      <c r="BZ36" s="3" t="s">
        <v>782</v>
      </c>
      <c r="CA36" s="3" t="e">
        <f>ROUNDUP(+SQRT((BX36+CM36)*6/(AX38*L33/10)),0)</f>
        <v>#N/A</v>
      </c>
      <c r="CF36" s="3" t="e">
        <f>+ROUNDUP(CQ36/3,-1)*3</f>
        <v>#N/A</v>
      </c>
      <c r="CG36" s="3" t="e">
        <f>ROUNDUP(CR36/3,-1)*3</f>
        <v>#N/A</v>
      </c>
      <c r="CH36" s="3" t="e">
        <f>ROUNDUP(CS36/3,-1)*3</f>
        <v>#N/A</v>
      </c>
      <c r="CL36" s="3" t="s">
        <v>1019</v>
      </c>
      <c r="CM36" s="3">
        <f>+CM35*POWER(K37*100,2)/8</f>
        <v>0</v>
      </c>
      <c r="CN36" s="3" t="e">
        <f>+CN35*POWER(K37*100,2)/8</f>
        <v>#VALUE!</v>
      </c>
      <c r="CO36" s="3" t="e">
        <f>5*CM35*POWER(AQ37,4)/(384*AS37)</f>
        <v>#VALUE!</v>
      </c>
      <c r="CP36" s="3" t="e">
        <f>5*CN35*POWER(AQ37,4)/(384*AS37)</f>
        <v>#VALUE!</v>
      </c>
      <c r="CQ36" s="3" t="e">
        <f>+CQ34/AX38</f>
        <v>#N/A</v>
      </c>
      <c r="CR36" s="3" t="e">
        <f>+CR34/BE38</f>
        <v>#N/A</v>
      </c>
      <c r="CS36" s="3" t="e">
        <f>+CS34/AZ38</f>
        <v>#N/A</v>
      </c>
      <c r="CT36" s="3" t="e">
        <f>+CT34/AX38</f>
        <v>#N/A</v>
      </c>
      <c r="CU36" s="3" t="e">
        <f>+CU34/BE38</f>
        <v>#N/A</v>
      </c>
      <c r="CV36" s="3" t="e">
        <f>+CV34/AZ38</f>
        <v>#N/A</v>
      </c>
    </row>
    <row r="37" spans="2:103" x14ac:dyDescent="0.15">
      <c r="B37" s="1712"/>
      <c r="C37" s="1219"/>
      <c r="D37" s="1322"/>
      <c r="E37" s="1211"/>
      <c r="F37" s="1031"/>
      <c r="G37" s="1031"/>
      <c r="H37" s="1410"/>
      <c r="I37" s="1031"/>
      <c r="J37" s="413"/>
      <c r="K37" s="464">
        <f>+I37+J37</f>
        <v>0</v>
      </c>
      <c r="L37" s="302"/>
      <c r="M37" s="594"/>
      <c r="N37" s="302"/>
      <c r="O37" s="594"/>
      <c r="P37" s="1382"/>
      <c r="Q37" s="1406"/>
      <c r="R37" s="1029"/>
      <c r="S37" s="1029"/>
      <c r="T37" s="882">
        <f>+IF(S37=0,0,6)</f>
        <v>0</v>
      </c>
      <c r="U37" s="1029"/>
      <c r="V37" s="1029"/>
      <c r="W37" s="1018">
        <f>IF(V37=0,0,+$L$170)</f>
        <v>0</v>
      </c>
      <c r="X37" s="574">
        <f>IF(V37=0,0,+VLOOKUP(W37,$I$189:$J$194,2))</f>
        <v>0</v>
      </c>
      <c r="Y37" s="324"/>
      <c r="Z37" s="324"/>
      <c r="AA37" s="324"/>
      <c r="AB37" s="324"/>
      <c r="AC37" s="463"/>
      <c r="AD37" s="325"/>
      <c r="AE37" s="302"/>
      <c r="AF37" s="324"/>
      <c r="AG37" s="325"/>
      <c r="AH37" s="325"/>
      <c r="AI37" s="594"/>
      <c r="AJ37" s="420"/>
      <c r="AK37" s="421"/>
      <c r="AL37" s="194"/>
      <c r="AP37" s="3" t="s">
        <v>983</v>
      </c>
      <c r="AQ37" s="641">
        <f>(+I37+J37)*100</f>
        <v>0</v>
      </c>
      <c r="AR37" s="615" t="s">
        <v>880</v>
      </c>
      <c r="AS37" s="642" t="e">
        <f>+VLOOKUP(VALUE(RIGHT(K33,4)),許容応力!$B$6:$K$22,10)*100</f>
        <v>#VALUE!</v>
      </c>
      <c r="AT37" s="615" t="s">
        <v>881</v>
      </c>
      <c r="AU37" s="520">
        <f>+BM36</f>
        <v>0</v>
      </c>
      <c r="AV37" s="18" t="s">
        <v>209</v>
      </c>
      <c r="AW37" s="18" t="s">
        <v>210</v>
      </c>
      <c r="AX37" s="3" t="s">
        <v>997</v>
      </c>
      <c r="AY37" s="3" t="s">
        <v>294</v>
      </c>
      <c r="AZ37" s="52" t="s">
        <v>498</v>
      </c>
      <c r="BA37" s="52" t="s">
        <v>499</v>
      </c>
      <c r="BB37" s="52" t="s">
        <v>500</v>
      </c>
      <c r="BC37" s="52" t="s">
        <v>501</v>
      </c>
      <c r="BD37" s="805" t="s">
        <v>295</v>
      </c>
      <c r="BE37" s="805" t="s">
        <v>296</v>
      </c>
      <c r="BF37" s="3" t="e">
        <f>ROUND(BI34/BL37,1)</f>
        <v>#DIV/0!</v>
      </c>
      <c r="BG37" s="3" t="e">
        <f>+IF(AW36&gt;=AW35,BJ34/AU38,BK34/AU38)</f>
        <v>#VALUE!</v>
      </c>
      <c r="BH37" s="63" t="e">
        <f>+BH36</f>
        <v>#DIV/0!</v>
      </c>
      <c r="BI37" s="3" t="e">
        <f>ROUND(BL34/BL37,1)</f>
        <v>#DIV/0!</v>
      </c>
      <c r="BJ37" s="3" t="e">
        <f>+IF(AW36&gt;=AW35,BM34/AU38,BN34/AU38)</f>
        <v>#VALUE!</v>
      </c>
      <c r="BK37" s="63" t="e">
        <f>+BK36</f>
        <v>#DIV/0!</v>
      </c>
      <c r="BL37" s="63">
        <f>IF(N34&lt;180,ROUND((N34/10-3)*POWER($N34/10-3,2)/6*IF(V34=0,1,V34),0),ROUND((N34/10-5)*POWER(N34/10-3,2)/6*IF($V34=0,1,$V34),0))</f>
        <v>-5</v>
      </c>
      <c r="BM37" s="63">
        <f>ROUND(IF(N34&lt;180,(N34/10-3)*POWER((N34/10-3),3)/12*IF(V34=0,1,V34),(N34/10-5))*POWER((N34/10-3),3)/12*IF(V34=0,1,V34),0)</f>
        <v>-15</v>
      </c>
      <c r="BN37" s="63" t="str">
        <f>IF(N34=0,"",IF(AW36&gt;=AW35,ROUND(AR35*AW36/AQ37/AG34/BB38,2),ROUNDUP(AR35*AW36/AQ37/AG34/BB38,2)))</f>
        <v/>
      </c>
      <c r="BO37" s="63" t="str">
        <f>IF(N33=0,"",IF(AW36&gt;=AW35,ROUND(AS35*AW36/AQ37/AG34/BC38,2),ROUNDUP(AS35*AW35/AQ37/AG34/BC38,2)))</f>
        <v/>
      </c>
      <c r="BQ37" s="3" t="s">
        <v>1002</v>
      </c>
      <c r="BR37" s="3">
        <f>IF(E38=0,0,+VALUE(RIGHT(E38,4)))</f>
        <v>0</v>
      </c>
      <c r="BT37" s="3" t="s">
        <v>1011</v>
      </c>
      <c r="BU37" s="3" t="e">
        <f>+BU35+BU36</f>
        <v>#N/A</v>
      </c>
      <c r="BV37" s="3" t="e">
        <f>+BV35+BV36</f>
        <v>#N/A</v>
      </c>
      <c r="BW37" s="3" t="s">
        <v>1018</v>
      </c>
      <c r="BX37" s="3" t="e">
        <f>+BU37*AQ37/2</f>
        <v>#N/A</v>
      </c>
      <c r="BY37" s="3" t="e">
        <f>5*BU37*POWER(AQ37,4)/(384*AS37)</f>
        <v>#N/A</v>
      </c>
      <c r="BZ37" s="805" t="s">
        <v>291</v>
      </c>
      <c r="CA37" s="3" t="e">
        <f>ROUND(L33/10*POWER(CA36,2)/6,0)</f>
        <v>#N/A</v>
      </c>
      <c r="CB37" s="805" t="s">
        <v>292</v>
      </c>
      <c r="CC37" s="3" t="e">
        <f>ROUND(L33/10*POWER(CA36,3)/12,0)</f>
        <v>#N/A</v>
      </c>
      <c r="CL37" s="3" t="s">
        <v>1018</v>
      </c>
      <c r="CM37" s="3">
        <f>+CM35*K37*100/2</f>
        <v>0</v>
      </c>
      <c r="CN37" s="3" t="e">
        <f>+CN35*K37*100/2</f>
        <v>#VALUE!</v>
      </c>
    </row>
    <row r="38" spans="2:103" ht="15" thickBot="1" x14ac:dyDescent="0.2">
      <c r="B38" s="1713"/>
      <c r="C38" s="1411" t="s">
        <v>1002</v>
      </c>
      <c r="D38" s="1412"/>
      <c r="E38" s="1150"/>
      <c r="F38" s="465" t="s">
        <v>1003</v>
      </c>
      <c r="G38" s="1136"/>
      <c r="H38" s="459" t="s">
        <v>1004</v>
      </c>
      <c r="I38" s="460"/>
      <c r="J38" s="466"/>
      <c r="K38" s="580"/>
      <c r="L38" s="1275"/>
      <c r="M38" s="1275"/>
      <c r="N38" s="225"/>
      <c r="O38" s="593"/>
      <c r="P38" s="593"/>
      <c r="Q38" s="593"/>
      <c r="R38" s="467"/>
      <c r="S38" s="422"/>
      <c r="T38" s="422"/>
      <c r="U38" s="423"/>
      <c r="V38" s="468"/>
      <c r="W38" s="1024">
        <f>IF(V37=0,0,+$L$169)</f>
        <v>0</v>
      </c>
      <c r="X38" s="423"/>
      <c r="Y38" s="423"/>
      <c r="Z38" s="423"/>
      <c r="AA38" s="423"/>
      <c r="AB38" s="423"/>
      <c r="AC38" s="467"/>
      <c r="AD38" s="422"/>
      <c r="AE38" s="225"/>
      <c r="AF38" s="423"/>
      <c r="AG38" s="422"/>
      <c r="AH38" s="422"/>
      <c r="AI38" s="593"/>
      <c r="AJ38" s="424"/>
      <c r="AK38" s="425"/>
      <c r="AL38" s="194"/>
      <c r="AP38" s="515" t="s">
        <v>984</v>
      </c>
      <c r="AQ38" s="3">
        <f>IF(F37=0,1,ROUND((F37+G37)/2,2))</f>
        <v>1</v>
      </c>
      <c r="AT38" s="615" t="s">
        <v>881</v>
      </c>
      <c r="AU38" s="3">
        <f>+BM37</f>
        <v>-15</v>
      </c>
      <c r="AV38" s="63">
        <f>ROUNDUP(IF(VALUE(RIGHT($G$10,3))=1,AW38*0.7,0),0)</f>
        <v>0</v>
      </c>
      <c r="AW38" s="63" t="e">
        <f>ROUNDUP(IF(VALUE(RIGHT($G$10,4))=1,$M$10*30*F33*100,$M$10*20*F33*100),0)</f>
        <v>#VALUE!</v>
      </c>
      <c r="AX38" s="10" t="e">
        <f>IF(AZ36=2,ROUND(VLOOKUP(AU36,許容応力!$B$6:$K$22,7)*1.1/3*100,0),ROUND(VLOOKUP(AU36,許容応力!$B$6:$K$22,7)*1.1/3*1.3*100,0))</f>
        <v>#VALUE!</v>
      </c>
      <c r="AY38" s="63" t="e">
        <f>ROUND(VLOOKUP(AU36,許容応力!$B$6:$K$22,7)*100*2/3*0.8,0)</f>
        <v>#VALUE!</v>
      </c>
      <c r="AZ38" s="10" t="e">
        <f>IF(AZ36=2,ROUND(VLOOKUP(AU36,許容応力!$B$6:$K$22,8)*1.1/3*100,0),ROUND(VLOOKUP(AU36,許容応力!$B$6:$K$22,8)*1.1/3*1.3*100,0))</f>
        <v>#VALUE!</v>
      </c>
      <c r="BA38" s="63" t="e">
        <f>ROUND(VLOOKUP(AU36,許容応力!$B$6:$K$22,8)*100*2/3*0.8,0)</f>
        <v>#VALUE!</v>
      </c>
      <c r="BB38" s="10" t="e">
        <f>IF(AZ36=2,ROUND(VLOOKUP(AU36,許容応力!$B$6:$K$22,9)*1.1/3*100,0),ROUND(VLOOKUP(AU36,許容応力!$B$6:$K$22,9)*1.1/3*1.3*100,0))</f>
        <v>#VALUE!</v>
      </c>
      <c r="BC38" s="63" t="e">
        <f>ROUND(VLOOKUP(AU36,許容応力!$B$6:$K$22,9)*100*2/3*0.8,0)</f>
        <v>#VALUE!</v>
      </c>
      <c r="BD38" s="63">
        <f>IF(AZ36=2,400,200)</f>
        <v>400</v>
      </c>
      <c r="BE38" s="63">
        <f>ROUND(AQ37/BD38,2)</f>
        <v>0</v>
      </c>
    </row>
    <row r="39" spans="2:103" x14ac:dyDescent="0.15">
      <c r="B39" s="1711" t="s">
        <v>1073</v>
      </c>
      <c r="C39" s="1400"/>
      <c r="D39" s="331"/>
      <c r="E39" s="1357"/>
      <c r="F39" s="1165" t="str">
        <f>IF(E39=0,"",ROUND(SQRT(COS(AU40*1.5*PI()/180)),3))</f>
        <v/>
      </c>
      <c r="G39" s="586"/>
      <c r="H39" s="586"/>
      <c r="I39" s="586"/>
      <c r="J39" s="586"/>
      <c r="K39" s="1575"/>
      <c r="L39" s="1654"/>
      <c r="M39" s="1229">
        <f>+IF(L39=0,0,"×")</f>
        <v>0</v>
      </c>
      <c r="N39" s="1295">
        <f>IF(L39=0,0,BB39)</f>
        <v>0</v>
      </c>
      <c r="O39" s="1296" t="str">
        <f>IF(W39=+"","",IF(AND(W39&lt;=1,X39&lt;=1,Z39&lt;=1,AA39&lt;=1),"OK!","NO!"))</f>
        <v/>
      </c>
      <c r="P39" s="1296">
        <f>IF(T39=0,0,IF(AND(Y39=0,AB39=0),0,IF(IF(Y39&gt;=AB39,Y39,AB39)&lt;=1,"OK!","NO!")))</f>
        <v>0</v>
      </c>
      <c r="Q39" s="1659"/>
      <c r="R39" s="1269"/>
      <c r="S39" s="1709">
        <f>IF(R39=0,0,+BR39)</f>
        <v>0</v>
      </c>
      <c r="T39" s="1253">
        <f>IF(AND(R39=0,V43=0),0,IF(S39=0,ROUND($M$181*$AR$10*X43/100,2),ROUNDUP(POWER(R39*S39,2)/(L39/10*IF(Q39=0,N39/10,Q39/10)),2)))</f>
        <v>0</v>
      </c>
      <c r="U39" s="1257">
        <f>IF(R39=0,0,IF(BH42&gt;=BK42,BH42,BK42))</f>
        <v>0</v>
      </c>
      <c r="V39" s="1652"/>
      <c r="W39" s="1257" t="str">
        <f>IF(N39=0,"",ROUNDUP(BF42/AX44,2))</f>
        <v/>
      </c>
      <c r="X39" s="1257" t="str">
        <f>IF(N39=0,"",ROUND(BG42/BE44,2))</f>
        <v/>
      </c>
      <c r="Y39" s="1257">
        <f>IF(K39=0,0,IF(AND(R39=0,V43=0),0,IF(R39=0,ROUNDUP(CF39/(AZ44*$M$181*$AR$10*X43/100),2),+BS40)))</f>
        <v>0</v>
      </c>
      <c r="Z39" s="1257" t="str">
        <f>IF(N39=0,"",ROUNDUP(BI42/AY44,2))</f>
        <v/>
      </c>
      <c r="AA39" s="1257" t="str">
        <f>IF(N39=0,"",ROUNDUP(BJ42/BE44,2))</f>
        <v/>
      </c>
      <c r="AB39" s="1257">
        <f>IF(K39=0,0,IF(AND(R39=0,V43=0),0,IF(R39=0,ROUNDUP(CG39/(BA44*$M$181*$AR$10*X43/100),2),+BT40)))</f>
        <v>0</v>
      </c>
      <c r="AC39" s="158"/>
      <c r="AD39" s="426"/>
      <c r="AE39" s="430"/>
      <c r="AF39" s="428"/>
      <c r="AG39" s="1253">
        <f>IF(AC39=0,0,ROUND(AC39*AD39+AE39*AF39+AC40*AD40+AE40*AF40,2))</f>
        <v>0</v>
      </c>
      <c r="AH39" s="1253" t="str">
        <f>IF(AD39=0,"",IF(AN39=1,AM39/(AR10*X43),AM39))</f>
        <v/>
      </c>
      <c r="AI39" s="1255" t="str">
        <f>IF(AH39=+"","",IF(AH39&lt;=1,"OK!","NO!"))</f>
        <v/>
      </c>
      <c r="AJ39" s="1695">
        <f>+IF(I43=0,0,"1/")</f>
        <v>0</v>
      </c>
      <c r="AK39" s="1696">
        <f>IF(I43=0,0,+BD44)</f>
        <v>0</v>
      </c>
      <c r="AL39" s="194"/>
      <c r="AM39" s="3" t="e">
        <f>+IF(BN42&gt;=BO42,BN42+CW41,BO42+CX41)</f>
        <v>#VALUE!</v>
      </c>
      <c r="AN39" s="3">
        <f>IF(P43=0,0,+VALUE(RIGHT(P43,4)))</f>
        <v>0</v>
      </c>
      <c r="AO39" s="515" t="s">
        <v>878</v>
      </c>
      <c r="AP39" s="3">
        <f>ROUND((G40+H40)/2,2)</f>
        <v>0</v>
      </c>
      <c r="AR39" s="349" t="s">
        <v>707</v>
      </c>
      <c r="AS39" s="349" t="s">
        <v>703</v>
      </c>
      <c r="AT39" s="520" t="s">
        <v>241</v>
      </c>
      <c r="AU39" s="17" t="s">
        <v>83</v>
      </c>
      <c r="AV39" s="63" t="e">
        <f t="shared" ref="AV39:BA39" si="8">ROUNDUP(BC39/3,-1)*3</f>
        <v>#DIV/0!</v>
      </c>
      <c r="AW39" s="63" t="e">
        <f t="shared" si="8"/>
        <v>#VALUE!</v>
      </c>
      <c r="AX39" s="63" t="e">
        <f t="shared" si="8"/>
        <v>#VALUE!</v>
      </c>
      <c r="AY39" s="63" t="e">
        <f t="shared" si="8"/>
        <v>#DIV/0!</v>
      </c>
      <c r="AZ39" s="63" t="e">
        <f t="shared" si="8"/>
        <v>#VALUE!</v>
      </c>
      <c r="BA39" s="63" t="e">
        <f t="shared" si="8"/>
        <v>#VALUE!</v>
      </c>
      <c r="BB39" s="155" t="e">
        <f>+MAX(AV39:BA39)</f>
        <v>#DIV/0!</v>
      </c>
      <c r="BC39" s="63" t="e">
        <f>ROUND(SQRT(ROUND(BI39/AX44*6/(L39/10)/IF(V39=0,1,V39),1))*10,0)</f>
        <v>#DIV/0!</v>
      </c>
      <c r="BD39" s="3" t="e">
        <f>POWER(ROUNDUP(BJ39/(L39/10)*12,0)/IF(V39=0,1,V39)/BE44,1/3)*10</f>
        <v>#VALUE!</v>
      </c>
      <c r="BE39" s="3" t="e">
        <f>POWER(ROUND(BK39/(L39/10)*12,0)/IF(V39=0,1,V39)/BE44,1/3)*10</f>
        <v>#VALUE!</v>
      </c>
      <c r="BF39" s="63" t="e">
        <f>ROUND(SQRT(ROUND(BL39/AY44*6/(L39/10)/IF(V39=0,1,V39),1))*10,2)</f>
        <v>#DIV/0!</v>
      </c>
      <c r="BG39" s="3" t="e">
        <f>POWER(ROUND(BM39/(L39/10)*12,0)/IF(V39=0,1,V39)/BE44,1/3)*10</f>
        <v>#VALUE!</v>
      </c>
      <c r="BH39" s="3" t="e">
        <f>POWER(ROUND(BN39/(L39/10)*12,0)/IF(V39=0,1,V39)/BE44,1/3)*10</f>
        <v>#VALUE!</v>
      </c>
      <c r="BI39" s="63" t="e">
        <f>ROUNDUP(AW42*AW41/AQ43*AR41,1)+BX42+CM42</f>
        <v>#DIV/0!</v>
      </c>
      <c r="BJ39" s="63" t="e">
        <f>AR41*AW41*SQRT(POWER(BA41-AY41,3))/(9*SQRT(3)*AS43*(AW41+AW42))+BY43+CO42</f>
        <v>#VALUE!</v>
      </c>
      <c r="BK39" s="63" t="e">
        <f>AR41*AW42*SQRT(POWER(BA41-AY42,3))/(9*SQRT(3)*AS43*(AW41+AW42))+BY43+CO42</f>
        <v>#VALUE!</v>
      </c>
      <c r="BL39" s="63" t="e">
        <f>ROUNDUP(AW42*AW41/AQ43*AS41,1)+BX42+CN42</f>
        <v>#DIV/0!</v>
      </c>
      <c r="BM39" s="63" t="e">
        <f>AS41*AW41*SQRT(POWER(BA41-AY41,3))/(9*SQRT(3)*AS43*(AW41+AW42))+BY43+CO42</f>
        <v>#VALUE!</v>
      </c>
      <c r="BN39" s="63" t="e">
        <f>AS41*AW42*SQRT(POWER(BA41-AY42,3))/(9*SQRT(3)*AS43*(AW41+AW42))+BY43+CP42</f>
        <v>#VALUE!</v>
      </c>
      <c r="BO39" s="9" t="e">
        <f>IF(AW42&gt;=AW41,ROUNDUP(AR41*AW42/AQ43/BB44,2),ROUNDUP(AR41*AW41/AQ43/BB44,2))</f>
        <v>#DIV/0!</v>
      </c>
      <c r="BP39" s="9" t="e">
        <f>IF(AW42&gt;=AW41,ROUNDUP(AS41*AW42/AQ43/BC44,2),ROUNDUP(AS41*AW41/AQ43/BC44,2))</f>
        <v>#VALUE!</v>
      </c>
      <c r="BQ39" s="23" t="e">
        <f>IF(BO39&gt;=BP39,BO39,BP39)</f>
        <v>#DIV/0!</v>
      </c>
      <c r="BR39" s="9">
        <f>IF(N39=0,0,ROUNDUP(SQRT((U39*L39/10*N39/10)/(R39*R39)),2))</f>
        <v>0</v>
      </c>
      <c r="BS39" s="805" t="s">
        <v>473</v>
      </c>
      <c r="BT39" s="63" t="s">
        <v>474</v>
      </c>
      <c r="BU39" s="63" t="s">
        <v>201</v>
      </c>
      <c r="BV39" s="63" t="s">
        <v>202</v>
      </c>
      <c r="BW39" s="3">
        <v>1</v>
      </c>
      <c r="BX39" s="3">
        <v>2</v>
      </c>
      <c r="BY39" s="3">
        <v>3</v>
      </c>
      <c r="BZ39" s="3">
        <v>4</v>
      </c>
      <c r="CA39" s="3">
        <v>5</v>
      </c>
      <c r="CB39" s="3">
        <v>6</v>
      </c>
      <c r="CF39" s="442" t="e">
        <f>ROUND(IF($AW42&gt;=$AW41,$AW42,$AW41)/$AQ43*$AR41,1)+BX43+CM43</f>
        <v>#DIV/0!</v>
      </c>
      <c r="CG39" s="442" t="e">
        <f>ROUND(IF($AW42&gt;=$AW41,$AW42,$AW41)/$AQ43*$AS41,1)+BX43+CN43</f>
        <v>#DIV/0!</v>
      </c>
      <c r="CH39" s="443" t="e">
        <f>+AV39+CF42</f>
        <v>#DIV/0!</v>
      </c>
      <c r="CI39" s="548" t="e">
        <f>+AW39+CG42</f>
        <v>#VALUE!</v>
      </c>
      <c r="CJ39" s="548" t="e">
        <f>+AY39+CF42</f>
        <v>#DIV/0!</v>
      </c>
      <c r="CK39" s="548" t="e">
        <f>+AZ39+CG42</f>
        <v>#VALUE!</v>
      </c>
      <c r="CL39" s="545" t="e">
        <f>MAX(CH39:CK39)</f>
        <v>#DIV/0!</v>
      </c>
      <c r="CM39" s="63" t="s">
        <v>201</v>
      </c>
      <c r="CN39" s="63" t="s">
        <v>202</v>
      </c>
      <c r="CQ39" s="412" t="s">
        <v>1013</v>
      </c>
      <c r="CR39" s="349" t="s">
        <v>1014</v>
      </c>
      <c r="CS39" s="412" t="s">
        <v>1015</v>
      </c>
      <c r="CT39" s="412" t="s">
        <v>1013</v>
      </c>
      <c r="CU39" s="349" t="s">
        <v>1014</v>
      </c>
      <c r="CV39" s="412" t="s">
        <v>1015</v>
      </c>
      <c r="CW39" s="3" t="s">
        <v>1223</v>
      </c>
      <c r="CX39" s="3" t="s">
        <v>1224</v>
      </c>
      <c r="CY39" s="1253">
        <f>IF(AND(R39=0,V43=0),0,IF(S39=0,M$181*AR10*X43/100,ROUND(POWER(R39*S39,2)/(L39/10*N39/10),2)))</f>
        <v>0</v>
      </c>
    </row>
    <row r="40" spans="2:103" x14ac:dyDescent="0.15">
      <c r="B40" s="1712"/>
      <c r="C40" s="1400"/>
      <c r="D40" s="330"/>
      <c r="E40" s="1357"/>
      <c r="F40" s="1166"/>
      <c r="G40" s="1028"/>
      <c r="H40" s="1028"/>
      <c r="I40" s="1028"/>
      <c r="J40" s="1028"/>
      <c r="K40" s="1672"/>
      <c r="L40" s="1653"/>
      <c r="M40" s="1289"/>
      <c r="N40" s="1258"/>
      <c r="O40" s="1392"/>
      <c r="P40" s="1392"/>
      <c r="Q40" s="1660"/>
      <c r="R40" s="1507"/>
      <c r="S40" s="1270"/>
      <c r="T40" s="1254"/>
      <c r="U40" s="1254"/>
      <c r="V40" s="1653"/>
      <c r="W40" s="1258"/>
      <c r="X40" s="1258"/>
      <c r="Y40" s="1254"/>
      <c r="Z40" s="1258"/>
      <c r="AA40" s="1258"/>
      <c r="AB40" s="1254"/>
      <c r="AC40" s="414"/>
      <c r="AD40" s="427"/>
      <c r="AE40" s="431"/>
      <c r="AF40" s="429"/>
      <c r="AG40" s="1254"/>
      <c r="AH40" s="1254"/>
      <c r="AI40" s="1256"/>
      <c r="AJ40" s="1284"/>
      <c r="AK40" s="1524"/>
      <c r="AL40" s="194"/>
      <c r="AO40" s="515" t="s">
        <v>879</v>
      </c>
      <c r="AP40" s="3">
        <f>ROUND((I40+J40)/2,2)</f>
        <v>0</v>
      </c>
      <c r="AQ40" s="479" t="s">
        <v>877</v>
      </c>
      <c r="AR40" s="632">
        <f>+準備!G57+AV44</f>
        <v>850</v>
      </c>
      <c r="AS40" s="632" t="e">
        <f>+準備!G57+AW44</f>
        <v>#VALUE!</v>
      </c>
      <c r="AT40" s="3">
        <f>+IF(OR(V40=0,V40=1),1,V40)</f>
        <v>1</v>
      </c>
      <c r="AU40" s="69">
        <f>ROUND(ATAN(E39/10)*180/PI(),4)</f>
        <v>0</v>
      </c>
      <c r="AV40" s="63" t="e">
        <f>IF(V40=0.8,VLOOKUP(BC40,$AR$398:$AS$443,2),IF(V40=0.9,VLOOKUP(BC40,$AR$351:$AS$396,2),VLOOKUP(BC40,$AR$304:$AS$349,2)))</f>
        <v>#DIV/0!</v>
      </c>
      <c r="AW40" s="63" t="e">
        <f>IF(V40=0.8,VLOOKUP(BD40,$AT$398:$AU$443,2),IF(V40=0.9,VLOOKUP(BD40,$AT$351:$AU$396,2),VLOOKUP(BD40,$AT$304:$AU$349,2)))</f>
        <v>#VALUE!</v>
      </c>
      <c r="AX40" s="63" t="e">
        <f>IF(V40=0.8,VLOOKUP(BE40,$AT$398:$AU$443,2),IF(V40=0.9,VLOOKUP(BE40,$AT$351:$AU$396,2),VLOOKUP(BE40,$AT$304:$AU$349,2)))</f>
        <v>#VALUE!</v>
      </c>
      <c r="AY40" s="63" t="e">
        <f>IF(V40=0.8,VLOOKUP(BF40,$AR$398:$AS$443,2),IF(V40=0.9,VLOOKUP(BF40,$AR$351:$AS$396,2),VLOOKUP(BF40,$AR$304:$AS$349,2)))</f>
        <v>#DIV/0!</v>
      </c>
      <c r="AZ40" s="63" t="e">
        <f>IF(V40=0.8,VLOOKUP(BG40,$AT$398:$AU$443,2),IF(V40=0.9,VLOOKUP(BG40,$AT$351:$AU$396,2),VLOOKUP(BG40,$AT$304:$AU$349,2)))</f>
        <v>#VALUE!</v>
      </c>
      <c r="BA40" s="63" t="e">
        <f>IF(V40=0.8,VLOOKUP(BH40,$AT$398:$AU$443,2),IF(V40=0.9,VLOOKUP(BH40,$AT$351:$AU$396,2),VLOOKUP(BH40,$AT$304:$AU$349,2)))</f>
        <v>#VALUE!</v>
      </c>
      <c r="BB40" s="155" t="e">
        <f>+MAX(AV40:BA40)</f>
        <v>#DIV/0!</v>
      </c>
      <c r="BC40" s="63" t="e">
        <f>ROUNDUP(BI40/AX44/IF(V40=0,1,V40),1)</f>
        <v>#DIV/0!</v>
      </c>
      <c r="BD40" s="63" t="e">
        <f>ROUNDUP(AR41*AW41*BE41/(9*SQRT(3)*AS43*AQ43*BE44)/AT40,2)</f>
        <v>#VALUE!</v>
      </c>
      <c r="BE40" s="63" t="e">
        <f>ROUNDUP(AR41*AW41*BE41/(9*SQRT(3)*AS43*AQ43*BE44)/AT40,2)</f>
        <v>#VALUE!</v>
      </c>
      <c r="BF40" s="63" t="e">
        <f>ROUNDUP(BL40/AY44/IF(V40=0,1,V40),1)</f>
        <v>#DIV/0!</v>
      </c>
      <c r="BG40" s="63" t="e">
        <f>ROUNDUP(AS41*AW41*BE41/(9*SQRT(3)*AS43*AQ43*BE44)/AT40,2)</f>
        <v>#VALUE!</v>
      </c>
      <c r="BH40" s="63" t="e">
        <f>ROUNDUP(AS41*AW42*BE41/(9*SQRT(3)*AS43*AQ43*BE44)/AT40,2)</f>
        <v>#VALUE!</v>
      </c>
      <c r="BI40" s="63" t="e">
        <f>ROUNDUP(AW41*AW42/AQ43*AR41,1)+BX42+CM42</f>
        <v>#DIV/0!</v>
      </c>
      <c r="BJ40" s="63" t="e">
        <f>+BJ39</f>
        <v>#VALUE!</v>
      </c>
      <c r="BK40" s="63" t="e">
        <f>+BK39</f>
        <v>#VALUE!</v>
      </c>
      <c r="BL40" s="63" t="e">
        <f>+BL39</f>
        <v>#DIV/0!</v>
      </c>
      <c r="BM40" s="63" t="e">
        <f>+BM39</f>
        <v>#VALUE!</v>
      </c>
      <c r="BN40" s="63" t="e">
        <f>+BN39</f>
        <v>#VALUE!</v>
      </c>
      <c r="BO40" s="9" t="e">
        <f>IF(AW42&gt;=AW41,ROUNDUP(AR41*AW42/AQ43/BB44,2),ROUNDUP(AR41*AW41/AQ43/BB44,2))</f>
        <v>#DIV/0!</v>
      </c>
      <c r="BP40" s="9" t="e">
        <f>IF(AW42&gt;=AW41,ROUNDUP(AS41*AW42/AQ43/BC44,2),ROUNDUP(AS41*AW41/AQ43/BC44,2))</f>
        <v>#VALUE!</v>
      </c>
      <c r="BQ40" s="23" t="e">
        <f>IF(BO40&gt;=BP40,BO40,BP40)</f>
        <v>#DIV/0!</v>
      </c>
      <c r="BR40" s="9">
        <f>IF(N40=0,0,ROUNDUP(SQRT(IF(Q40=0,(U40*(N40/10-5)*(N40/10-3)),(U40*(Q40/10-5)*(Q40/10-3)))/(R40*R40)),2))</f>
        <v>0</v>
      </c>
      <c r="BS40" s="63" t="str">
        <f>IF(N39=0,"",ROUND(CF39/(AZ44*T39),2))</f>
        <v/>
      </c>
      <c r="BT40" s="63" t="str">
        <f>IF(N39=0,"",ROUND(CG39/(BA44*T39),1))</f>
        <v/>
      </c>
      <c r="BU40" s="805" t="s">
        <v>269</v>
      </c>
      <c r="BV40" s="805" t="s">
        <v>269</v>
      </c>
      <c r="BW40" s="632">
        <f>+準備!$G$20/100</f>
        <v>4.5</v>
      </c>
      <c r="BX40" s="632">
        <f>+準備!$G$24/100</f>
        <v>11</v>
      </c>
      <c r="BY40" s="632">
        <f>+準備!$G$28/100</f>
        <v>14</v>
      </c>
      <c r="BZ40" s="632">
        <f>+準備!$G$32/100</f>
        <v>17.5</v>
      </c>
      <c r="CA40" s="632">
        <f>+準備!$G$36/100</f>
        <v>17.5</v>
      </c>
      <c r="CB40" s="632">
        <f>+準備!$G$38/100</f>
        <v>4</v>
      </c>
      <c r="CF40" s="548" t="e">
        <f>+IF($AW42&gt;=$AW41,$AW42*$AR41/($K43*100)+BX43,$AW41*$AR41/($K43*100)+BX43+CM43)</f>
        <v>#DIV/0!</v>
      </c>
      <c r="CG40" s="548" t="e">
        <f>+IF($AW42&gt;=$AW41,$AW42*$AS41/($K43*100)+BX43,$AW41*$AS41/($K43*100)+BX43+CN43)</f>
        <v>#VALUE!</v>
      </c>
      <c r="CH40" s="548" t="e">
        <f>+AV40+CF42</f>
        <v>#DIV/0!</v>
      </c>
      <c r="CI40" s="548" t="e">
        <f>+AW40+CG42</f>
        <v>#VALUE!</v>
      </c>
      <c r="CJ40" s="548" t="e">
        <f>+AY40+CF42</f>
        <v>#DIV/0!</v>
      </c>
      <c r="CK40" s="548" t="e">
        <f>+AZ40+CG42</f>
        <v>#VALUE!</v>
      </c>
      <c r="CL40" s="545" t="e">
        <f>MAX(CH40:CK40)</f>
        <v>#DIV/0!</v>
      </c>
      <c r="CM40" s="805" t="s">
        <v>269</v>
      </c>
      <c r="CN40" s="805" t="s">
        <v>269</v>
      </c>
      <c r="CO40" s="3" t="s">
        <v>189</v>
      </c>
      <c r="CQ40" s="3" t="e">
        <f>IF($BX42=0,0,ROUND(($BX42+$CM42)/$CA43,1))</f>
        <v>#N/A</v>
      </c>
      <c r="CR40" s="3" t="e">
        <f>IF($BY43=0,0,ROUND(($BY43+$CO42)/$CC43,2))</f>
        <v>#N/A</v>
      </c>
      <c r="CS40" s="3" t="e">
        <f>IF($BX43=0,0,ROUND(($BX43+$CM43)/$T39,1))</f>
        <v>#N/A</v>
      </c>
      <c r="CT40" s="3" t="e">
        <f>IF($BX42=0,0,ROUND(($BX42+$CN42)/$CA43,1))</f>
        <v>#N/A</v>
      </c>
      <c r="CU40" s="3" t="e">
        <f>IF($BY43=0,0,ROUND(($BY43+$CP42)/$CC43,2))</f>
        <v>#N/A</v>
      </c>
      <c r="CV40" s="3" t="e">
        <f>IF($BX43=0,0,ROUND(($BX43+$CN43)/$T39,1))</f>
        <v>#N/A</v>
      </c>
      <c r="CW40" s="3" t="e">
        <f>ROUND(VLOOKUP(VALUE(RIGHT($K39,4)),許容応力!$B$6:$K$22,9)*1.1/3*100,0)</f>
        <v>#VALUE!</v>
      </c>
      <c r="CX40" s="3" t="e">
        <f>ROUND(VLOOKUP(VALUE(RIGHT($K39,4)),許容応力!$B$6:$K$22,9)*2/3*0.8*100,0)</f>
        <v>#VALUE!</v>
      </c>
      <c r="CY40" s="1272"/>
    </row>
    <row r="41" spans="2:103" ht="14.25" customHeight="1" x14ac:dyDescent="0.15">
      <c r="B41" s="1712"/>
      <c r="C41" s="1217" t="s">
        <v>980</v>
      </c>
      <c r="D41" s="1403" t="s">
        <v>961</v>
      </c>
      <c r="E41" s="1404"/>
      <c r="F41" s="1407" t="s">
        <v>964</v>
      </c>
      <c r="G41" s="1408"/>
      <c r="H41" s="1239" t="s">
        <v>970</v>
      </c>
      <c r="I41" s="1215" t="s">
        <v>967</v>
      </c>
      <c r="J41" s="1397"/>
      <c r="K41" s="461"/>
      <c r="L41" s="451"/>
      <c r="M41" s="450"/>
      <c r="N41" s="451"/>
      <c r="O41" s="450"/>
      <c r="P41" s="451"/>
      <c r="Q41" s="878"/>
      <c r="R41" s="1307" t="s">
        <v>1154</v>
      </c>
      <c r="S41" s="1308"/>
      <c r="T41" s="1308"/>
      <c r="U41" s="1308"/>
      <c r="V41" s="1308"/>
      <c r="W41" s="1308"/>
      <c r="X41" s="1621"/>
      <c r="Y41" s="453"/>
      <c r="Z41" s="453"/>
      <c r="AA41" s="453"/>
      <c r="AB41" s="453"/>
      <c r="AC41" s="462"/>
      <c r="AD41" s="452"/>
      <c r="AE41" s="451"/>
      <c r="AF41" s="453"/>
      <c r="AG41" s="452"/>
      <c r="AH41" s="452"/>
      <c r="AI41" s="450"/>
      <c r="AJ41" s="454"/>
      <c r="AK41" s="455"/>
      <c r="AL41" s="194"/>
      <c r="AO41" s="637" t="s">
        <v>958</v>
      </c>
      <c r="AQ41" s="638" t="s">
        <v>994</v>
      </c>
      <c r="AR41" s="3">
        <f>ROUND(AR40*AP39*AP40,0)</f>
        <v>0</v>
      </c>
      <c r="AS41" s="3" t="e">
        <f>ROUND(AS40*AP39*AP40,0)</f>
        <v>#VALUE!</v>
      </c>
      <c r="AT41" s="639" t="e">
        <f>+VALUE(RIGHT(K39,4))</f>
        <v>#VALUE!</v>
      </c>
      <c r="AU41" s="639" t="e">
        <f>+VLOOKUP(VALUE(RIGHT(K39,4)),$G$387:$J$397,3)</f>
        <v>#VALUE!</v>
      </c>
      <c r="AV41" s="377" t="s">
        <v>986</v>
      </c>
      <c r="AW41" s="640">
        <f>+J43*100</f>
        <v>0</v>
      </c>
      <c r="AX41" s="3" t="s">
        <v>988</v>
      </c>
      <c r="AY41" s="3">
        <f>+POWER(AW41,2)</f>
        <v>0</v>
      </c>
      <c r="AZ41" s="3" t="s">
        <v>990</v>
      </c>
      <c r="BA41" s="3">
        <f>+POWER(AQ43,2)</f>
        <v>0</v>
      </c>
      <c r="BB41" s="3" t="s">
        <v>999</v>
      </c>
      <c r="BC41" s="3">
        <f>+BA41-AY41</f>
        <v>0</v>
      </c>
      <c r="BD41" s="3" t="s">
        <v>992</v>
      </c>
      <c r="BE41" s="3">
        <f>SQRT(+POWER(BC41,3))</f>
        <v>0</v>
      </c>
      <c r="BF41" s="52" t="s">
        <v>287</v>
      </c>
      <c r="BG41" s="805" t="s">
        <v>288</v>
      </c>
      <c r="BH41" s="52" t="s">
        <v>490</v>
      </c>
      <c r="BI41" s="52" t="s">
        <v>289</v>
      </c>
      <c r="BJ41" s="805" t="s">
        <v>290</v>
      </c>
      <c r="BK41" s="52" t="s">
        <v>493</v>
      </c>
      <c r="BL41" s="805" t="s">
        <v>291</v>
      </c>
      <c r="BM41" s="805" t="s">
        <v>292</v>
      </c>
      <c r="BN41" s="412" t="s">
        <v>1020</v>
      </c>
      <c r="BO41" s="412" t="s">
        <v>1021</v>
      </c>
      <c r="BS41" s="63" t="str">
        <f>+BS40</f>
        <v/>
      </c>
      <c r="BT41" s="63" t="str">
        <f>+BT40</f>
        <v/>
      </c>
      <c r="BU41" s="87" t="e">
        <f>IF(OR(BR42=0,BR42=1),0,ROUNDUP((準備!$G$60/100+準備!$D$48/100)*((F43+G43)/2*100)/200,2))</f>
        <v>#N/A</v>
      </c>
      <c r="BV41" s="87" t="e">
        <f>+BU41</f>
        <v>#N/A</v>
      </c>
      <c r="BW41" s="3">
        <f t="shared" ref="BW41:CB41" si="9">ROUND(BW40*$I44,2)</f>
        <v>0</v>
      </c>
      <c r="BX41" s="3">
        <f t="shared" si="9"/>
        <v>0</v>
      </c>
      <c r="BY41" s="3">
        <f t="shared" si="9"/>
        <v>0</v>
      </c>
      <c r="BZ41" s="3">
        <f t="shared" si="9"/>
        <v>0</v>
      </c>
      <c r="CA41" s="3">
        <f t="shared" si="9"/>
        <v>0</v>
      </c>
      <c r="CB41" s="3">
        <f t="shared" si="9"/>
        <v>0</v>
      </c>
      <c r="CF41" s="412" t="s">
        <v>1065</v>
      </c>
      <c r="CG41" s="349" t="s">
        <v>1066</v>
      </c>
      <c r="CH41" s="412" t="s">
        <v>1067</v>
      </c>
      <c r="CM41" s="87">
        <f>IF(OR($BR42=0,$BR42=1),0,ROUND((準備!$G$6+$AV44)*$G43/200,2))</f>
        <v>0</v>
      </c>
      <c r="CN41" s="87" t="e">
        <f>IF(OR($BR42=0,$BR42=1),0,ROUND((準備!$G$6+$AW44)*$G43/200,2))</f>
        <v>#VALUE!</v>
      </c>
      <c r="CO41" s="3" t="s">
        <v>168</v>
      </c>
      <c r="CP41" s="3" t="s">
        <v>203</v>
      </c>
      <c r="CQ41" s="412" t="s">
        <v>1065</v>
      </c>
      <c r="CR41" s="349" t="s">
        <v>1066</v>
      </c>
      <c r="CS41" s="412" t="s">
        <v>1067</v>
      </c>
      <c r="CT41" s="412" t="s">
        <v>1065</v>
      </c>
      <c r="CU41" s="349" t="s">
        <v>1066</v>
      </c>
      <c r="CV41" s="412" t="s">
        <v>1067</v>
      </c>
      <c r="CW41" s="3" t="e">
        <f>ROUND($CM$17*K43*100/2/CW40/AG39,2)</f>
        <v>#VALUE!</v>
      </c>
      <c r="CX41" s="3" t="e">
        <f>ROUND(CN41*K43*100/2/CX40/AG39,2)</f>
        <v>#VALUE!</v>
      </c>
    </row>
    <row r="42" spans="2:103" x14ac:dyDescent="0.15">
      <c r="B42" s="1712"/>
      <c r="C42" s="1402"/>
      <c r="D42" s="1405"/>
      <c r="E42" s="1406"/>
      <c r="F42" s="411" t="s">
        <v>971</v>
      </c>
      <c r="G42" s="587" t="s">
        <v>1071</v>
      </c>
      <c r="H42" s="1409"/>
      <c r="I42" s="586" t="s">
        <v>981</v>
      </c>
      <c r="J42" s="592" t="s">
        <v>982</v>
      </c>
      <c r="K42" s="440" t="s">
        <v>1011</v>
      </c>
      <c r="L42" s="592" t="s">
        <v>1071</v>
      </c>
      <c r="M42" s="456" t="s">
        <v>1072</v>
      </c>
      <c r="N42" s="457"/>
      <c r="O42" s="876"/>
      <c r="P42" s="1342"/>
      <c r="Q42" s="1406"/>
      <c r="R42" s="877" t="s">
        <v>1265</v>
      </c>
      <c r="S42" s="877" t="s">
        <v>1266</v>
      </c>
      <c r="T42" s="877" t="s">
        <v>1267</v>
      </c>
      <c r="U42" s="877" t="s">
        <v>1260</v>
      </c>
      <c r="V42" s="877" t="s">
        <v>1268</v>
      </c>
      <c r="W42" s="440" t="s">
        <v>1151</v>
      </c>
      <c r="X42" s="440" t="s">
        <v>1153</v>
      </c>
      <c r="Y42" s="324"/>
      <c r="Z42" s="324"/>
      <c r="AA42" s="324"/>
      <c r="AB42" s="324"/>
      <c r="AC42" s="463"/>
      <c r="AD42" s="325"/>
      <c r="AE42" s="302"/>
      <c r="AF42" s="324"/>
      <c r="AG42" s="325"/>
      <c r="AH42" s="325"/>
      <c r="AI42" s="594"/>
      <c r="AJ42" s="420"/>
      <c r="AK42" s="421"/>
      <c r="AL42" s="194"/>
      <c r="AP42" s="3" t="s">
        <v>790</v>
      </c>
      <c r="AQ42" s="3">
        <f>+L39</f>
        <v>0</v>
      </c>
      <c r="AR42" s="3" t="s">
        <v>985</v>
      </c>
      <c r="AS42" s="3">
        <f>+N39</f>
        <v>0</v>
      </c>
      <c r="AT42" s="3" t="s">
        <v>15</v>
      </c>
      <c r="AU42" s="3" t="e">
        <f>+VALUE(RIGHT(K39,4))</f>
        <v>#VALUE!</v>
      </c>
      <c r="AV42" s="377" t="s">
        <v>987</v>
      </c>
      <c r="AW42" s="640">
        <f>+I43*100</f>
        <v>0</v>
      </c>
      <c r="AX42" s="3" t="s">
        <v>989</v>
      </c>
      <c r="AY42" s="3">
        <f>+POWER(AW42,2)</f>
        <v>0</v>
      </c>
      <c r="AZ42" s="409">
        <f>+VALUE(RIGHT($G$10,3))</f>
        <v>2</v>
      </c>
      <c r="BB42" s="3" t="s">
        <v>991</v>
      </c>
      <c r="BC42" s="3">
        <f>+BA41-AY42</f>
        <v>0</v>
      </c>
      <c r="BD42" s="3" t="s">
        <v>993</v>
      </c>
      <c r="BE42" s="3">
        <f>SQRT(+POWER(BC42,3))</f>
        <v>0</v>
      </c>
      <c r="BF42" s="3" t="e">
        <f>ROUND((BI39)/BL42,1)</f>
        <v>#DIV/0!</v>
      </c>
      <c r="BG42" s="3" t="e">
        <f>+IF(AW42&gt;=AW41,BJ39/AU43,BK39/AU43)</f>
        <v>#VALUE!</v>
      </c>
      <c r="BH42" s="63" t="e">
        <f>+CF39/AZ44</f>
        <v>#DIV/0!</v>
      </c>
      <c r="BI42" s="3" t="e">
        <f>ROUND(BL39/BL42,1)</f>
        <v>#DIV/0!</v>
      </c>
      <c r="BJ42" s="3" t="e">
        <f>+IF(AW42&gt;=AW41,BM39/AU43,BN39/AU43)</f>
        <v>#VALUE!</v>
      </c>
      <c r="BK42" s="63" t="e">
        <f>+CG39/BA44</f>
        <v>#DIV/0!</v>
      </c>
      <c r="BL42" s="63">
        <f>ROUNDDOWN(L39/10*POWER(N39/10,2)/6*IF(OR(V39=0,V39=1),1,V39),0)</f>
        <v>0</v>
      </c>
      <c r="BM42" s="63">
        <f>ROUNDDOWN(L39/10*POWER(N39/10,3)/12*IF(OR(V39=0,V39=1),1,V39),0)</f>
        <v>0</v>
      </c>
      <c r="BN42" s="63" t="str">
        <f>IF(N39=0,"",IF(AW42&gt;=AW41,ROUND(AR41*AW42/AQ43/AG39/BB44,2),ROUNDUP(AR41*AW41/AQ43/AG39/BB44,2)))</f>
        <v/>
      </c>
      <c r="BO42" s="63" t="str">
        <f>IF(N39=0,"",IF(AW42&gt;=AW41,ROUND(AS41*AW42/AQ43/AG39/BC44,2),ROUNDUP(AS41*AW41/AQ43/AG39/BC44,2)))</f>
        <v/>
      </c>
      <c r="BQ42" s="3" t="s">
        <v>1012</v>
      </c>
      <c r="BR42" s="3">
        <f>IF(D41=0,0,+VALUE(RIGHT(D41,4)))</f>
        <v>2</v>
      </c>
      <c r="BS42" s="3" t="s">
        <v>1003</v>
      </c>
      <c r="BT42" s="3">
        <f>IF(G44=0,0,+VALUE(RIGHT(G44,4)))</f>
        <v>0</v>
      </c>
      <c r="BU42" s="3">
        <f>IF(OR(BR43=0,BR43=2),0,HLOOKUP(BT42,BW39:CB41,3))</f>
        <v>0</v>
      </c>
      <c r="BV42" s="3">
        <f>+BU42</f>
        <v>0</v>
      </c>
      <c r="BW42" s="3" t="s">
        <v>1019</v>
      </c>
      <c r="BX42" s="3" t="e">
        <f>BU43*POWER(AQ43,2)/8</f>
        <v>#N/A</v>
      </c>
      <c r="BY42" s="3" t="s">
        <v>189</v>
      </c>
      <c r="BZ42" s="3" t="s">
        <v>782</v>
      </c>
      <c r="CA42" s="3" t="e">
        <f>ROUNDUP(+SQRT((BX42+CM42)*6/(AX44*L39/10)),0)</f>
        <v>#N/A</v>
      </c>
      <c r="CF42" s="3" t="e">
        <f>+ROUNDUP(CQ42/3,-1)*3</f>
        <v>#N/A</v>
      </c>
      <c r="CG42" s="3" t="e">
        <f>ROUNDUP(CR42/3,-1)*3</f>
        <v>#N/A</v>
      </c>
      <c r="CH42" s="3" t="e">
        <f>ROUNDUP(CS42/3,-1)*3</f>
        <v>#N/A</v>
      </c>
      <c r="CL42" s="3" t="s">
        <v>1019</v>
      </c>
      <c r="CM42" s="3">
        <f>+CM41*POWER(K43*100,2)/8</f>
        <v>0</v>
      </c>
      <c r="CN42" s="3" t="e">
        <f>+CN41*POWER(K43*100,2)/8</f>
        <v>#VALUE!</v>
      </c>
      <c r="CO42" s="3" t="e">
        <f>5*CM41*POWER(AQ43,4)/(384*AS43)</f>
        <v>#VALUE!</v>
      </c>
      <c r="CP42" s="3" t="e">
        <f>5*CN41*POWER(AQ43,4)/(384*AS43)</f>
        <v>#VALUE!</v>
      </c>
      <c r="CQ42" s="3" t="e">
        <f>+CQ40/AX44</f>
        <v>#N/A</v>
      </c>
      <c r="CR42" s="3" t="e">
        <f>+CR40/BE44</f>
        <v>#N/A</v>
      </c>
      <c r="CS42" s="3" t="e">
        <f>+CS40/AZ44</f>
        <v>#N/A</v>
      </c>
      <c r="CT42" s="3" t="e">
        <f>+CT40/AX44</f>
        <v>#N/A</v>
      </c>
      <c r="CU42" s="3" t="e">
        <f>+CU40/BE44</f>
        <v>#N/A</v>
      </c>
      <c r="CV42" s="3" t="e">
        <f>+CV40/AZ44</f>
        <v>#N/A</v>
      </c>
    </row>
    <row r="43" spans="2:103" x14ac:dyDescent="0.15">
      <c r="B43" s="1712"/>
      <c r="C43" s="1219"/>
      <c r="D43" s="1322"/>
      <c r="E43" s="1211"/>
      <c r="F43" s="1031"/>
      <c r="G43" s="1031"/>
      <c r="H43" s="1410"/>
      <c r="I43" s="1031"/>
      <c r="J43" s="413"/>
      <c r="K43" s="464">
        <f>+I43+J43</f>
        <v>0</v>
      </c>
      <c r="L43" s="302"/>
      <c r="M43" s="594"/>
      <c r="N43" s="302"/>
      <c r="O43" s="594"/>
      <c r="P43" s="1382"/>
      <c r="Q43" s="1406"/>
      <c r="R43" s="1029"/>
      <c r="S43" s="1029"/>
      <c r="T43" s="882">
        <f>+IF(S43=0,0,6)</f>
        <v>0</v>
      </c>
      <c r="U43" s="1029"/>
      <c r="V43" s="1029"/>
      <c r="W43" s="1018">
        <f>IF(V43=0,0,+$M$170)</f>
        <v>0</v>
      </c>
      <c r="X43" s="574">
        <f>IF(V43=0,0,+VLOOKUP(W43,$I$189:$J$194,2))</f>
        <v>0</v>
      </c>
      <c r="Y43" s="324"/>
      <c r="Z43" s="324"/>
      <c r="AA43" s="324"/>
      <c r="AB43" s="324"/>
      <c r="AC43" s="463"/>
      <c r="AD43" s="325"/>
      <c r="AE43" s="302"/>
      <c r="AF43" s="324"/>
      <c r="AG43" s="325"/>
      <c r="AH43" s="325"/>
      <c r="AI43" s="594"/>
      <c r="AJ43" s="420"/>
      <c r="AK43" s="421"/>
      <c r="AL43" s="194"/>
      <c r="AP43" s="3" t="s">
        <v>983</v>
      </c>
      <c r="AQ43" s="641">
        <f>(+I43+J43)*100</f>
        <v>0</v>
      </c>
      <c r="AR43" s="615" t="s">
        <v>880</v>
      </c>
      <c r="AS43" s="642" t="e">
        <f>+VLOOKUP(VALUE(RIGHT(K39,4)),許容応力!$B$6:$K$22,10)*100</f>
        <v>#VALUE!</v>
      </c>
      <c r="AT43" s="615" t="s">
        <v>881</v>
      </c>
      <c r="AU43" s="520">
        <f>+BM42</f>
        <v>0</v>
      </c>
      <c r="AV43" s="18" t="s">
        <v>209</v>
      </c>
      <c r="AW43" s="18" t="s">
        <v>210</v>
      </c>
      <c r="AX43" s="3" t="s">
        <v>997</v>
      </c>
      <c r="AY43" s="3" t="s">
        <v>294</v>
      </c>
      <c r="AZ43" s="52" t="s">
        <v>498</v>
      </c>
      <c r="BA43" s="52" t="s">
        <v>499</v>
      </c>
      <c r="BB43" s="52" t="s">
        <v>500</v>
      </c>
      <c r="BC43" s="52" t="s">
        <v>501</v>
      </c>
      <c r="BD43" s="805" t="s">
        <v>295</v>
      </c>
      <c r="BE43" s="805" t="s">
        <v>296</v>
      </c>
      <c r="BF43" s="3" t="e">
        <f>ROUND(BI40/BL43,1)</f>
        <v>#DIV/0!</v>
      </c>
      <c r="BG43" s="3" t="e">
        <f>+IF(AW42&gt;=AW41,BJ40/AU44,BK40/AU44)</f>
        <v>#VALUE!</v>
      </c>
      <c r="BH43" s="63" t="e">
        <f>+BH42</f>
        <v>#DIV/0!</v>
      </c>
      <c r="BI43" s="3" t="e">
        <f>ROUND(BL40/BL43,1)</f>
        <v>#DIV/0!</v>
      </c>
      <c r="BJ43" s="3" t="e">
        <f>+IF(AW42&gt;=AW41,BM40/AU44,BN40/AU44)</f>
        <v>#VALUE!</v>
      </c>
      <c r="BK43" s="63" t="e">
        <f>+BK42</f>
        <v>#DIV/0!</v>
      </c>
      <c r="BL43" s="63">
        <f>IF(N40&lt;180,ROUND((N40/10-3)*POWER($N40/10-3,2)/6*IF(V40=0,1,V40),0),ROUND((N40/10-5)*POWER(N40/10-3,2)/6*IF($V40=0,1,$V40),0))</f>
        <v>-5</v>
      </c>
      <c r="BM43" s="63">
        <f>ROUND(IF(N40&lt;180,(N40/10-3)*POWER((N40/10-3),3)/12*IF(V40=0,1,V40),(N40/10-5))*POWER((N40/10-3),3)/12*IF(V40=0,1,V40),0)</f>
        <v>-15</v>
      </c>
      <c r="BN43" s="63" t="str">
        <f>IF(N40=0,"",IF(AW42&gt;=AW41,ROUND(AR41*AW42/AQ43/AG40/BB44,2),ROUNDUP(AR41*AW42/AQ43/AG40/BB44,2)))</f>
        <v/>
      </c>
      <c r="BO43" s="63" t="str">
        <f>IF(N39=0,"",IF(AW42&gt;=AW41,ROUND(AS41*AW42/AQ43/AG40/BC44,2),ROUNDUP(AS41*AW41/AQ43/AG40/BC44,2)))</f>
        <v/>
      </c>
      <c r="BQ43" s="3" t="s">
        <v>1002</v>
      </c>
      <c r="BR43" s="3">
        <f>IF(E44=0,0,+VALUE(RIGHT(E44,4)))</f>
        <v>0</v>
      </c>
      <c r="BT43" s="3" t="s">
        <v>1011</v>
      </c>
      <c r="BU43" s="3" t="e">
        <f>+BU41+BU42</f>
        <v>#N/A</v>
      </c>
      <c r="BV43" s="3" t="e">
        <f>+BV41+BV42</f>
        <v>#N/A</v>
      </c>
      <c r="BW43" s="3" t="s">
        <v>1018</v>
      </c>
      <c r="BX43" s="3" t="e">
        <f>+BU43*AQ43/2</f>
        <v>#N/A</v>
      </c>
      <c r="BY43" s="3" t="e">
        <f>5*BU43*POWER(AQ43,4)/(384*AS43)</f>
        <v>#N/A</v>
      </c>
      <c r="BZ43" s="805" t="s">
        <v>291</v>
      </c>
      <c r="CA43" s="3" t="e">
        <f>ROUND(L39/10*POWER(CA42,2)/6,0)</f>
        <v>#N/A</v>
      </c>
      <c r="CB43" s="805" t="s">
        <v>292</v>
      </c>
      <c r="CC43" s="3" t="e">
        <f>ROUND(L39/10*POWER(CA42,3)/12,0)</f>
        <v>#N/A</v>
      </c>
      <c r="CL43" s="3" t="s">
        <v>1018</v>
      </c>
      <c r="CM43" s="3">
        <f>+CM41*K43*100/2</f>
        <v>0</v>
      </c>
      <c r="CN43" s="3" t="e">
        <f>+CN41*K43*100/2</f>
        <v>#VALUE!</v>
      </c>
    </row>
    <row r="44" spans="2:103" ht="15" thickBot="1" x14ac:dyDescent="0.2">
      <c r="B44" s="1713"/>
      <c r="C44" s="1411" t="s">
        <v>1002</v>
      </c>
      <c r="D44" s="1412"/>
      <c r="E44" s="1150"/>
      <c r="F44" s="465" t="s">
        <v>1003</v>
      </c>
      <c r="G44" s="1136"/>
      <c r="H44" s="459" t="s">
        <v>1004</v>
      </c>
      <c r="I44" s="460"/>
      <c r="J44" s="466"/>
      <c r="K44" s="580"/>
      <c r="L44" s="1275"/>
      <c r="M44" s="1275"/>
      <c r="N44" s="225"/>
      <c r="O44" s="593"/>
      <c r="P44" s="593"/>
      <c r="Q44" s="593"/>
      <c r="R44" s="467"/>
      <c r="S44" s="422"/>
      <c r="T44" s="422"/>
      <c r="U44" s="423"/>
      <c r="V44" s="468"/>
      <c r="W44" s="1025">
        <f>IF(V43=0,0,+$M$169)</f>
        <v>0</v>
      </c>
      <c r="X44" s="423"/>
      <c r="Y44" s="423"/>
      <c r="Z44" s="423"/>
      <c r="AA44" s="423"/>
      <c r="AB44" s="423"/>
      <c r="AC44" s="467"/>
      <c r="AD44" s="422"/>
      <c r="AE44" s="225"/>
      <c r="AF44" s="423"/>
      <c r="AG44" s="422"/>
      <c r="AH44" s="422"/>
      <c r="AI44" s="593"/>
      <c r="AJ44" s="424"/>
      <c r="AK44" s="425"/>
      <c r="AL44" s="194"/>
      <c r="AP44" s="515" t="s">
        <v>984</v>
      </c>
      <c r="AQ44" s="3">
        <f>IF(F43=0,1,ROUND((F43+G43)/2,2))</f>
        <v>1</v>
      </c>
      <c r="AT44" s="615" t="s">
        <v>881</v>
      </c>
      <c r="AU44" s="3">
        <f>+BM43</f>
        <v>-15</v>
      </c>
      <c r="AV44" s="63">
        <f>ROUNDUP(IF(VALUE(RIGHT($G$10,3))=1,AW44*0.7,0),0)</f>
        <v>0</v>
      </c>
      <c r="AW44" s="63" t="e">
        <f>ROUNDUP(IF(VALUE(RIGHT($G$10,4))=1,$M$10*30*F39*100,$M$10*20*F39*100),0)</f>
        <v>#VALUE!</v>
      </c>
      <c r="AX44" s="10" t="e">
        <f>IF(AZ42=2,ROUND(VLOOKUP(AU42,許容応力!$B$6:$K$22,7)*1.1/3*100,0),ROUND(VLOOKUP(AU42,許容応力!$B$6:$K$22,7)*1.1/3*1.3*100,0))</f>
        <v>#VALUE!</v>
      </c>
      <c r="AY44" s="63" t="e">
        <f>ROUND(VLOOKUP(AU42,許容応力!$B$6:$K$22,7)*100*2/3*0.8,0)</f>
        <v>#VALUE!</v>
      </c>
      <c r="AZ44" s="10" t="e">
        <f>IF(AZ42=2,ROUND(VLOOKUP(AU42,許容応力!$B$6:$K$22,8)*1.1/3*100,0),ROUND(VLOOKUP(AU42,許容応力!$B$6:$K$22,8)*1.1/3*1.3*100,0))</f>
        <v>#VALUE!</v>
      </c>
      <c r="BA44" s="63" t="e">
        <f>ROUND(VLOOKUP(AU42,許容応力!$B$6:$K$22,8)*100*2/3*0.8,0)</f>
        <v>#VALUE!</v>
      </c>
      <c r="BB44" s="10" t="e">
        <f>IF(AZ42=2,ROUND(VLOOKUP(AU42,許容応力!$B$6:$K$22,9)*1.1/3*100,0),ROUND(VLOOKUP(AU42,許容応力!$B$6:$K$22,9)*1.1/3*1.3*100,0))</f>
        <v>#VALUE!</v>
      </c>
      <c r="BC44" s="63" t="e">
        <f>ROUND(VLOOKUP(AU42,許容応力!$B$6:$K$22,9)*100*2/3*0.8,0)</f>
        <v>#VALUE!</v>
      </c>
      <c r="BD44" s="63">
        <f>IF(AZ42=2,400,200)</f>
        <v>400</v>
      </c>
      <c r="BE44" s="63">
        <f>ROUND(AQ43/BD44,2)</f>
        <v>0</v>
      </c>
    </row>
    <row r="45" spans="2:103" x14ac:dyDescent="0.15">
      <c r="B45" s="194"/>
      <c r="C45" s="194"/>
      <c r="D45" s="194"/>
      <c r="E45" s="194"/>
      <c r="F45" s="194"/>
      <c r="G45" s="194"/>
      <c r="H45" s="194"/>
      <c r="I45" s="194"/>
      <c r="J45" s="194"/>
      <c r="K45" s="194"/>
      <c r="L45" s="194"/>
      <c r="M45" s="194"/>
      <c r="N45" s="194"/>
      <c r="O45" s="194"/>
      <c r="P45" s="194"/>
      <c r="Q45" s="194"/>
      <c r="R45" s="194"/>
      <c r="S45" s="194"/>
      <c r="T45" s="194"/>
      <c r="U45" s="194"/>
      <c r="V45" s="194"/>
      <c r="W45" s="1023"/>
      <c r="X45" s="194"/>
      <c r="Y45" s="194"/>
      <c r="Z45" s="194"/>
      <c r="AA45" s="194"/>
      <c r="AB45" s="194"/>
      <c r="AC45" s="194"/>
      <c r="AD45" s="194"/>
      <c r="AE45" s="194"/>
      <c r="AF45" s="194"/>
      <c r="AG45" s="194"/>
      <c r="AH45" s="194"/>
      <c r="AI45" s="194"/>
      <c r="AJ45" s="194"/>
      <c r="AK45" s="194"/>
      <c r="AL45" s="194"/>
      <c r="AR45" s="643"/>
      <c r="AS45" s="644"/>
      <c r="AT45" s="645" t="s">
        <v>1046</v>
      </c>
    </row>
    <row r="46" spans="2:103" x14ac:dyDescent="0.15">
      <c r="B46" s="194"/>
      <c r="C46" s="194"/>
      <c r="D46" s="194"/>
      <c r="E46" s="608"/>
      <c r="F46" s="609" t="s">
        <v>866</v>
      </c>
      <c r="G46" s="525" t="s">
        <v>866</v>
      </c>
      <c r="H46" s="490"/>
      <c r="I46" s="302"/>
      <c r="J46" s="490"/>
      <c r="K46" s="646"/>
      <c r="L46" s="515"/>
      <c r="M46" s="520"/>
      <c r="N46" s="481"/>
      <c r="O46" s="302"/>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T46" s="551"/>
    </row>
    <row r="47" spans="2:103" x14ac:dyDescent="0.15">
      <c r="B47" s="608" t="s">
        <v>1070</v>
      </c>
      <c r="C47" s="194"/>
      <c r="D47" s="194"/>
      <c r="E47" s="608"/>
      <c r="F47" s="621"/>
      <c r="G47" s="621"/>
      <c r="H47" s="617"/>
      <c r="I47" s="302"/>
      <c r="J47" s="618"/>
      <c r="K47" s="626"/>
      <c r="L47" s="515"/>
      <c r="M47" s="495"/>
      <c r="N47" s="481"/>
      <c r="O47" s="302"/>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103" x14ac:dyDescent="0.15">
      <c r="B48" s="194"/>
      <c r="C48" s="194"/>
      <c r="D48" s="194"/>
      <c r="E48" s="608"/>
      <c r="F48" s="615"/>
      <c r="G48" s="618"/>
      <c r="H48" s="617"/>
      <c r="I48" s="302"/>
      <c r="J48" s="490"/>
      <c r="K48" s="626"/>
      <c r="L48" s="494"/>
      <c r="M48" s="494"/>
      <c r="N48" s="481"/>
      <c r="O48" s="302"/>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Q48" s="644"/>
      <c r="AR48" s="643" t="s">
        <v>1047</v>
      </c>
      <c r="AS48" s="644"/>
      <c r="AT48" s="643" t="s">
        <v>1048</v>
      </c>
      <c r="AV48" s="3" t="s">
        <v>1049</v>
      </c>
      <c r="AX48" s="644"/>
      <c r="AY48" s="643" t="s">
        <v>1027</v>
      </c>
      <c r="AZ48" s="644"/>
      <c r="BA48" s="643" t="s">
        <v>1050</v>
      </c>
      <c r="BB48" s="3" t="s">
        <v>1053</v>
      </c>
    </row>
    <row r="49" spans="2:117" x14ac:dyDescent="0.15">
      <c r="B49" s="194"/>
      <c r="C49" s="194"/>
      <c r="D49" s="194"/>
      <c r="E49" s="479" t="s">
        <v>865</v>
      </c>
      <c r="F49" s="1689" t="s">
        <v>1017</v>
      </c>
      <c r="G49" s="1690"/>
      <c r="H49" s="617" t="s">
        <v>874</v>
      </c>
      <c r="I49" s="302"/>
      <c r="J49" s="618"/>
      <c r="K49" s="626"/>
      <c r="L49" s="494"/>
      <c r="M49" s="520"/>
      <c r="N49" s="520"/>
      <c r="O49" s="302"/>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R49" s="647"/>
      <c r="AT49" s="2"/>
      <c r="AY49" s="647"/>
      <c r="BA49" s="647" t="s">
        <v>1028</v>
      </c>
      <c r="BB49" s="3" t="s">
        <v>1051</v>
      </c>
    </row>
    <row r="50" spans="2:117" x14ac:dyDescent="0.15">
      <c r="B50" s="194"/>
      <c r="C50" s="194"/>
      <c r="D50" s="194"/>
      <c r="E50" s="608"/>
      <c r="F50" s="621"/>
      <c r="G50" s="648" t="s">
        <v>876</v>
      </c>
      <c r="H50" s="617"/>
      <c r="I50" s="302"/>
      <c r="J50" s="618"/>
      <c r="K50" s="617"/>
      <c r="L50" s="515"/>
      <c r="M50" s="520"/>
      <c r="N50" s="481"/>
      <c r="O50" s="302"/>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T50" s="2"/>
      <c r="BA50" s="647"/>
    </row>
    <row r="51" spans="2:117" ht="15" thickBot="1" x14ac:dyDescent="0.2">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BA51" s="647"/>
    </row>
    <row r="52" spans="2:117" ht="15" thickBot="1" x14ac:dyDescent="0.2">
      <c r="B52" s="1172" t="s">
        <v>192</v>
      </c>
      <c r="C52" s="1173"/>
      <c r="D52" s="1173"/>
      <c r="E52" s="1174"/>
      <c r="F52" s="735" t="s">
        <v>161</v>
      </c>
      <c r="G52" s="408" t="str">
        <f>+IF(VALUE(RIGHT(J52,4))&lt;=0.5,K631,K630)</f>
        <v>一般地域               2</v>
      </c>
      <c r="H52" s="1350" t="s">
        <v>771</v>
      </c>
      <c r="I52" s="1351"/>
      <c r="J52" s="1353">
        <f>+J10</f>
        <v>0</v>
      </c>
      <c r="K52" s="1174"/>
      <c r="L52" s="169" t="s">
        <v>162</v>
      </c>
      <c r="M52" s="170">
        <f>+VALUE(RIGHT(J52,4))</f>
        <v>0</v>
      </c>
      <c r="N52" s="635" t="s">
        <v>475</v>
      </c>
      <c r="O52" s="225"/>
      <c r="P52" s="468"/>
      <c r="Q52" s="468"/>
      <c r="R52" s="225"/>
      <c r="S52" s="468"/>
      <c r="T52" s="468"/>
      <c r="U52" s="225"/>
      <c r="V52" s="225"/>
      <c r="W52" s="225"/>
      <c r="X52" s="225"/>
      <c r="Y52" s="225"/>
      <c r="Z52" s="225"/>
      <c r="AA52" s="225"/>
      <c r="AB52" s="225"/>
      <c r="AC52" s="225"/>
      <c r="AD52" s="225"/>
      <c r="AE52" s="225"/>
      <c r="AF52" s="225"/>
      <c r="AG52" s="225"/>
      <c r="AH52" s="225"/>
      <c r="AI52" s="225"/>
      <c r="AJ52" s="225"/>
      <c r="AK52" s="225"/>
      <c r="AL52" s="225"/>
      <c r="AM52" s="302"/>
      <c r="AN52" s="9"/>
      <c r="BA52" s="3" t="s">
        <v>1052</v>
      </c>
    </row>
    <row r="53" spans="2:117" ht="15" thickBot="1" x14ac:dyDescent="0.2">
      <c r="B53" s="1235"/>
      <c r="C53" s="1382"/>
      <c r="D53" s="1382"/>
      <c r="E53" s="1236"/>
      <c r="F53" s="1172" t="s">
        <v>653</v>
      </c>
      <c r="G53" s="1173"/>
      <c r="H53" s="1593" t="s">
        <v>1210</v>
      </c>
      <c r="I53" s="1277"/>
      <c r="J53" s="1420"/>
      <c r="K53" s="1421"/>
      <c r="L53" s="1655" t="s">
        <v>207</v>
      </c>
      <c r="M53" s="1233"/>
      <c r="N53" s="1610" t="s">
        <v>419</v>
      </c>
      <c r="O53" s="1662"/>
      <c r="P53" s="1228" t="s">
        <v>165</v>
      </c>
      <c r="Q53" s="1527"/>
      <c r="R53" s="1228" t="s">
        <v>243</v>
      </c>
      <c r="S53" s="1250"/>
      <c r="T53" s="1250"/>
      <c r="U53" s="1283"/>
      <c r="V53" s="1200" t="s">
        <v>423</v>
      </c>
      <c r="W53" s="1196" t="s">
        <v>241</v>
      </c>
      <c r="X53" s="1227" t="s">
        <v>199</v>
      </c>
      <c r="Y53" s="1228"/>
      <c r="Z53" s="1229"/>
      <c r="AA53" s="1227" t="s">
        <v>200</v>
      </c>
      <c r="AB53" s="1228"/>
      <c r="AC53" s="1229"/>
      <c r="AD53" s="1249" t="s">
        <v>709</v>
      </c>
      <c r="AE53" s="1665"/>
      <c r="AF53" s="1665"/>
      <c r="AG53" s="1665"/>
      <c r="AH53" s="1665"/>
      <c r="AI53" s="1665"/>
      <c r="AJ53" s="1666"/>
      <c r="AK53" s="1610" t="s">
        <v>166</v>
      </c>
      <c r="AL53" s="1662"/>
      <c r="AM53" s="596"/>
      <c r="AN53" s="435"/>
    </row>
    <row r="54" spans="2:117" ht="15" thickBot="1" x14ac:dyDescent="0.2">
      <c r="B54" s="1383"/>
      <c r="C54" s="1384"/>
      <c r="D54" s="1384"/>
      <c r="E54" s="1417"/>
      <c r="F54" s="1235"/>
      <c r="G54" s="1694"/>
      <c r="H54" s="1708">
        <f>+H12</f>
        <v>0</v>
      </c>
      <c r="I54" s="1696"/>
      <c r="J54" s="1697"/>
      <c r="K54" s="1425"/>
      <c r="L54" s="299">
        <f>+L12</f>
        <v>0</v>
      </c>
      <c r="M54" s="175" t="s">
        <v>208</v>
      </c>
      <c r="N54" s="1698"/>
      <c r="O54" s="1664"/>
      <c r="P54" s="1252"/>
      <c r="Q54" s="1285"/>
      <c r="R54" s="1252"/>
      <c r="S54" s="1252"/>
      <c r="T54" s="1252"/>
      <c r="U54" s="1285"/>
      <c r="V54" s="1290"/>
      <c r="W54" s="1529"/>
      <c r="X54" s="1415"/>
      <c r="Y54" s="1288"/>
      <c r="Z54" s="1289"/>
      <c r="AA54" s="1415"/>
      <c r="AB54" s="1288"/>
      <c r="AC54" s="1289"/>
      <c r="AD54" s="1251"/>
      <c r="AE54" s="1252"/>
      <c r="AF54" s="1252"/>
      <c r="AG54" s="1252"/>
      <c r="AH54" s="1252"/>
      <c r="AI54" s="1252"/>
      <c r="AJ54" s="1524"/>
      <c r="AK54" s="1699"/>
      <c r="AL54" s="1700"/>
      <c r="AM54" s="596"/>
      <c r="AN54" s="435"/>
    </row>
    <row r="55" spans="2:117" x14ac:dyDescent="0.15">
      <c r="B55" s="1189" t="s">
        <v>167</v>
      </c>
      <c r="C55" s="1190"/>
      <c r="D55" s="1200" t="s">
        <v>807</v>
      </c>
      <c r="E55" s="1192" t="s">
        <v>190</v>
      </c>
      <c r="F55" s="1192"/>
      <c r="G55" s="1215" t="s">
        <v>964</v>
      </c>
      <c r="H55" s="1427"/>
      <c r="I55" s="1197" t="s">
        <v>967</v>
      </c>
      <c r="J55" s="1393"/>
      <c r="K55" s="1394"/>
      <c r="L55" s="729" t="s">
        <v>15</v>
      </c>
      <c r="M55" s="1157" t="s">
        <v>783</v>
      </c>
      <c r="N55" s="1157"/>
      <c r="O55" s="1157"/>
      <c r="P55" s="566" t="s">
        <v>188</v>
      </c>
      <c r="Q55" s="736" t="s">
        <v>242</v>
      </c>
      <c r="R55" s="1293" t="s">
        <v>1187</v>
      </c>
      <c r="S55" s="1209" t="s">
        <v>418</v>
      </c>
      <c r="T55" s="1210"/>
      <c r="U55" s="1211"/>
      <c r="V55" s="1290"/>
      <c r="W55" s="1529"/>
      <c r="X55" s="586" t="s">
        <v>188</v>
      </c>
      <c r="Y55" s="586" t="s">
        <v>189</v>
      </c>
      <c r="Z55" s="586" t="s">
        <v>242</v>
      </c>
      <c r="AA55" s="586" t="s">
        <v>188</v>
      </c>
      <c r="AB55" s="586" t="s">
        <v>189</v>
      </c>
      <c r="AC55" s="586" t="s">
        <v>242</v>
      </c>
      <c r="AD55" s="1237">
        <v>1</v>
      </c>
      <c r="AE55" s="1238"/>
      <c r="AF55" s="1237">
        <v>2</v>
      </c>
      <c r="AG55" s="1238"/>
      <c r="AH55" s="1679" t="s">
        <v>486</v>
      </c>
      <c r="AI55" s="1265" t="s">
        <v>710</v>
      </c>
      <c r="AJ55" s="1242" t="s">
        <v>165</v>
      </c>
      <c r="AK55" s="1699"/>
      <c r="AL55" s="1700"/>
      <c r="AM55" s="596"/>
      <c r="AN55" s="435"/>
      <c r="BM55" s="349" t="s">
        <v>1045</v>
      </c>
      <c r="BO55" s="436" t="s">
        <v>1054</v>
      </c>
      <c r="BQ55" s="436" t="s">
        <v>1056</v>
      </c>
      <c r="BS55" s="436" t="s">
        <v>1058</v>
      </c>
      <c r="BU55" s="63"/>
      <c r="BV55" s="63"/>
      <c r="BX55" s="410"/>
      <c r="BY55" s="410" t="s">
        <v>1001</v>
      </c>
      <c r="CA55" s="410" t="s">
        <v>1005</v>
      </c>
      <c r="CB55" s="3" t="s">
        <v>1007</v>
      </c>
      <c r="CC55" s="3" t="s">
        <v>1008</v>
      </c>
      <c r="CD55" s="3" t="s">
        <v>1009</v>
      </c>
      <c r="CE55" s="3" t="s">
        <v>1010</v>
      </c>
      <c r="CF55" s="410" t="s">
        <v>1006</v>
      </c>
      <c r="CG55" s="410" t="s">
        <v>1016</v>
      </c>
    </row>
    <row r="56" spans="2:117" ht="15" thickBot="1" x14ac:dyDescent="0.2">
      <c r="B56" s="458"/>
      <c r="C56" s="570" t="s">
        <v>809</v>
      </c>
      <c r="D56" s="1392"/>
      <c r="E56" s="417" t="s">
        <v>184</v>
      </c>
      <c r="F56" s="418" t="s">
        <v>191</v>
      </c>
      <c r="G56" s="586" t="s">
        <v>1061</v>
      </c>
      <c r="H56" s="586" t="s">
        <v>1063</v>
      </c>
      <c r="I56" s="586" t="s">
        <v>965</v>
      </c>
      <c r="J56" s="586" t="s">
        <v>1022</v>
      </c>
      <c r="K56" s="586" t="s">
        <v>966</v>
      </c>
      <c r="L56" s="728"/>
      <c r="M56" s="459" t="s">
        <v>781</v>
      </c>
      <c r="N56" s="459" t="s">
        <v>163</v>
      </c>
      <c r="O56" s="459" t="s">
        <v>782</v>
      </c>
      <c r="P56" s="728" t="s">
        <v>189</v>
      </c>
      <c r="Q56" s="730"/>
      <c r="R56" s="1291"/>
      <c r="S56" s="567" t="s">
        <v>480</v>
      </c>
      <c r="T56" s="567" t="s">
        <v>481</v>
      </c>
      <c r="U56" s="567" t="s">
        <v>482</v>
      </c>
      <c r="V56" s="567" t="s">
        <v>1069</v>
      </c>
      <c r="W56" s="1530"/>
      <c r="X56" s="179" t="s">
        <v>194</v>
      </c>
      <c r="Y56" s="179" t="s">
        <v>195</v>
      </c>
      <c r="Z56" s="179" t="s">
        <v>485</v>
      </c>
      <c r="AA56" s="179" t="s">
        <v>194</v>
      </c>
      <c r="AB56" s="179" t="s">
        <v>195</v>
      </c>
      <c r="AC56" s="179" t="s">
        <v>485</v>
      </c>
      <c r="AD56" s="581" t="s">
        <v>756</v>
      </c>
      <c r="AE56" s="581" t="s">
        <v>757</v>
      </c>
      <c r="AF56" s="581" t="s">
        <v>758</v>
      </c>
      <c r="AG56" s="581" t="s">
        <v>759</v>
      </c>
      <c r="AH56" s="1266"/>
      <c r="AI56" s="1266"/>
      <c r="AJ56" s="1667"/>
      <c r="AK56" s="1698"/>
      <c r="AL56" s="1664"/>
      <c r="AM56" s="596"/>
      <c r="AN56" s="435"/>
      <c r="AR56" s="349" t="s">
        <v>707</v>
      </c>
      <c r="AS56" s="349" t="s">
        <v>703</v>
      </c>
      <c r="AT56" s="18" t="s">
        <v>209</v>
      </c>
      <c r="AU56" s="18" t="s">
        <v>210</v>
      </c>
      <c r="AV56" s="17" t="s">
        <v>83</v>
      </c>
      <c r="AW56" s="3" t="s">
        <v>707</v>
      </c>
      <c r="BG56" s="349" t="s">
        <v>486</v>
      </c>
      <c r="BH56" s="349" t="s">
        <v>976</v>
      </c>
      <c r="BI56" s="349"/>
      <c r="BJ56" s="349" t="s">
        <v>486</v>
      </c>
      <c r="BK56" s="349" t="s">
        <v>976</v>
      </c>
      <c r="BM56" s="349" t="s">
        <v>486</v>
      </c>
      <c r="BN56" s="349" t="s">
        <v>976</v>
      </c>
      <c r="BO56" s="349" t="s">
        <v>486</v>
      </c>
      <c r="BP56" s="349" t="s">
        <v>976</v>
      </c>
      <c r="BQ56" s="349" t="s">
        <v>486</v>
      </c>
      <c r="BR56" s="349" t="s">
        <v>976</v>
      </c>
      <c r="BS56" s="349" t="s">
        <v>486</v>
      </c>
      <c r="BT56" s="349" t="s">
        <v>976</v>
      </c>
      <c r="BU56" s="9" t="s">
        <v>242</v>
      </c>
      <c r="BX56" s="63"/>
      <c r="BY56" s="63" t="s">
        <v>201</v>
      </c>
      <c r="BZ56" s="63" t="s">
        <v>202</v>
      </c>
      <c r="CA56" s="3">
        <v>1</v>
      </c>
      <c r="CB56" s="3">
        <v>2</v>
      </c>
      <c r="CC56" s="3">
        <v>3</v>
      </c>
      <c r="CD56" s="3">
        <v>4</v>
      </c>
      <c r="CE56" s="3">
        <v>5</v>
      </c>
      <c r="CF56" s="3">
        <v>6</v>
      </c>
      <c r="DA56" s="63" t="s">
        <v>201</v>
      </c>
      <c r="DB56" s="63" t="s">
        <v>202</v>
      </c>
      <c r="DE56" s="412" t="s">
        <v>1013</v>
      </c>
      <c r="DF56" s="349" t="s">
        <v>1014</v>
      </c>
      <c r="DG56" s="412" t="s">
        <v>1015</v>
      </c>
      <c r="DH56" s="412" t="s">
        <v>1013</v>
      </c>
      <c r="DI56" s="349" t="s">
        <v>1014</v>
      </c>
      <c r="DJ56" s="412" t="s">
        <v>1015</v>
      </c>
      <c r="DK56" s="3" t="s">
        <v>1223</v>
      </c>
      <c r="DL56" s="3" t="s">
        <v>1224</v>
      </c>
    </row>
    <row r="57" spans="2:117" x14ac:dyDescent="0.15">
      <c r="B57" s="1714" t="s">
        <v>1073</v>
      </c>
      <c r="C57" s="1688"/>
      <c r="D57" s="438"/>
      <c r="E57" s="1687"/>
      <c r="F57" s="1668" t="str">
        <f>IF(E57=0,"",ROUND(SQRT(COS(AV57*1.5*PI()/180)),3))</f>
        <v/>
      </c>
      <c r="G57" s="474"/>
      <c r="H57" s="474"/>
      <c r="I57" s="802"/>
      <c r="J57" s="802"/>
      <c r="K57" s="801"/>
      <c r="L57" s="1657"/>
      <c r="M57" s="1654"/>
      <c r="N57" s="1200">
        <f>+IF(M57=0,0,"×")</f>
        <v>0</v>
      </c>
      <c r="O57" s="1295">
        <f>IF(M57=0,0,CN58)</f>
        <v>0</v>
      </c>
      <c r="P57" s="1296" t="str">
        <f>IF(X57=+"","",IF(AND(X57&lt;=1,Y57&lt;=1,AA57&lt;=1,AB57&lt;=1),"OK!","NO!"))</f>
        <v/>
      </c>
      <c r="Q57" s="1296">
        <f>IF(U57=0,0,IF(AND(Z57=0,AC57=0),0,IF(IF(Z57&gt;=AC57,Z57,AC57)&lt;=1,"OK!","NO!")))</f>
        <v>0</v>
      </c>
      <c r="R57" s="1659"/>
      <c r="S57" s="1269"/>
      <c r="T57" s="1271">
        <f>IF(S57=0,0,BU57)</f>
        <v>0</v>
      </c>
      <c r="U57" s="1253">
        <f>IF(AND(T61=0,S57=0),0,+IF(AND(VALUE(RIGHT(R57,4))=2,T61&gt;0),0,IF(AND(VALUE(RIGHT(R57,4))=1,S57&gt;0),0,DM57)))</f>
        <v>0</v>
      </c>
      <c r="V57" s="1257">
        <f>IF(S57=0,0,IF(BG61&gt;=BJ61,BG61,BJ61))</f>
        <v>0</v>
      </c>
      <c r="W57" s="1652"/>
      <c r="X57" s="1257" t="str">
        <f>IF(O57=0,"",ROUNDUP($BE61/$AW61,2))</f>
        <v/>
      </c>
      <c r="Y57" s="1257" t="str">
        <f>IF(O57=0,"",ROUND($BF61/$BD61,2))</f>
        <v/>
      </c>
      <c r="Z57" s="1257">
        <f>IF(L57=0,0,IF(AND(S57=0,Z61=0),0,IF(S57=0,ROUNDUP(BC59/(AY61*$N$181*$AR$10*Z61/100),2),+BV57)))</f>
        <v>0</v>
      </c>
      <c r="AA57" s="1257" t="str">
        <f>IF(O57=0,"",ROUNDUP($BH61/$AX61,2))</f>
        <v/>
      </c>
      <c r="AB57" s="1257" t="str">
        <f>IF(O57=0,"",ROUNDUP($BI61/$BD61,2))</f>
        <v/>
      </c>
      <c r="AC57" s="1257">
        <f>IF(L57=0,0,IF(AND(S57=0,X61=0),0,IF(S57=0,ROUNDUP(BE59/(AZ61*$N$181*$AR$10*Z61/100),2),+BW57)))</f>
        <v>0</v>
      </c>
      <c r="AD57" s="158"/>
      <c r="AE57" s="426"/>
      <c r="AF57" s="430"/>
      <c r="AG57" s="428"/>
      <c r="AH57" s="1253">
        <f>IF(AD57=0,0,ROUND(AD57*AE57+AF57*AG57+AD58*AE58+AF58*AG58,2))</f>
        <v>0</v>
      </c>
      <c r="AI57" s="1253">
        <f>IF(AD57=0,0,IF(AN57=1,AM57/($AR$10*Z61),+AM57))</f>
        <v>0</v>
      </c>
      <c r="AJ57" s="1255" t="str">
        <f>IF(AI57=0,"",IF(AI57&lt;=1,"OK!","NO!"))</f>
        <v/>
      </c>
      <c r="AK57" s="182">
        <f>+IF(J62=0,0,"1/")</f>
        <v>0</v>
      </c>
      <c r="AL57" s="183">
        <f>IF(J62=0,0,+BC61)</f>
        <v>0</v>
      </c>
      <c r="AM57" s="3" t="e">
        <f>+IF(BM61&gt;=BN61,BM61+DK58,BN61+DL58)</f>
        <v>#DIV/0!</v>
      </c>
      <c r="AN57" s="3">
        <f>IF(R61=0,0,+VALUE(RIGHT(R61,4)))</f>
        <v>0</v>
      </c>
      <c r="AQ57" s="479" t="s">
        <v>877</v>
      </c>
      <c r="AR57" s="632">
        <f>+準備!G57+AT57</f>
        <v>850</v>
      </c>
      <c r="AS57" s="632" t="e">
        <f>+準備!G57+AU57</f>
        <v>#VALUE!</v>
      </c>
      <c r="AT57" s="63">
        <f>ROUNDUP(IF(VALUE(RIGHT($G$52,3))=1,AU57*0.7,0),0)</f>
        <v>0</v>
      </c>
      <c r="AU57" s="63" t="e">
        <f>ROUNDUP(IF(VALUE(RIGHT($G$52,4))=1,$M$52*30*F57*100,$M$52*20*F57*100),0)</f>
        <v>#VALUE!</v>
      </c>
      <c r="AV57" s="69">
        <f>ROUND(ATAN(E57/10)*180/PI(),4)</f>
        <v>0</v>
      </c>
      <c r="AW57" s="3">
        <f>+N62</f>
        <v>0</v>
      </c>
      <c r="AX57" s="3" t="s">
        <v>1033</v>
      </c>
      <c r="AY57" s="3" t="e">
        <f>ROUND($AU58*$AU59/$AW57*$AR58,1)</f>
        <v>#DIV/0!</v>
      </c>
      <c r="AZ57" s="641">
        <f>+AU59</f>
        <v>0</v>
      </c>
      <c r="BA57" s="640">
        <f>+AW58</f>
        <v>0</v>
      </c>
      <c r="BB57" s="3" t="e">
        <f>ROUND($AY57*$BA57/$AZ57+$AY58,0)</f>
        <v>#DIV/0!</v>
      </c>
      <c r="BC57" s="3" t="s">
        <v>1035</v>
      </c>
      <c r="BD57" s="3" t="e">
        <f>ROUND($AU58*$AU59/$AW57*$AS58,1)</f>
        <v>#DIV/0!</v>
      </c>
      <c r="BE57" s="3" t="e">
        <f>ROUND($BD57*$BA57/$AZ57+$BD58,0)</f>
        <v>#DIV/0!</v>
      </c>
      <c r="BF57" s="3" t="s">
        <v>1039</v>
      </c>
      <c r="BG57" s="3" t="e">
        <f>ROUND($AU59/$AW57*$AR58,0)</f>
        <v>#DIV/0!</v>
      </c>
      <c r="BH57" s="3" t="e">
        <f>ROUND($AU58/$AW57*$AR58,0)</f>
        <v>#DIV/0!</v>
      </c>
      <c r="BI57" s="3" t="s">
        <v>1043</v>
      </c>
      <c r="BJ57" s="3" t="e">
        <f>ROUND($AU59/$AW57*$AS58,0)</f>
        <v>#DIV/0!</v>
      </c>
      <c r="BK57" s="3" t="e">
        <f>ROUND($AU58/$AW57*$AS58,0)</f>
        <v>#DIV/0!</v>
      </c>
      <c r="BL57" s="3" t="s">
        <v>1057</v>
      </c>
      <c r="BM57" s="3">
        <f>ROUND(POWER($AW57,2)-POWER($AU59,2),0)</f>
        <v>0</v>
      </c>
      <c r="BN57" s="3">
        <f>ROUND(POWER($AW57,2)-POWER($AW59,2),0)</f>
        <v>0</v>
      </c>
      <c r="BO57" s="3">
        <f>+SQRT(POWER(BM57,3))</f>
        <v>0</v>
      </c>
      <c r="BP57" s="3">
        <f>+SQRT(POWER(BN57,3))</f>
        <v>0</v>
      </c>
      <c r="BQ57" s="63" t="e">
        <f>ROUNDUP($AR58*$AU59*$BO57/(9*SQRT(3)*$AT60*$AW57),2)</f>
        <v>#VALUE!</v>
      </c>
      <c r="BR57" s="63" t="e">
        <f>ROUNDUP($AR59*$AW59*$BP57/(9*SQRT(3)*$AT60*$AW57),2)</f>
        <v>#VALUE!</v>
      </c>
      <c r="BS57" s="63" t="e">
        <f>ROUNDUP($AS58*$AU59*$BO57/(9*SQRT(3)*$AT60*$AW57),2)</f>
        <v>#VALUE!</v>
      </c>
      <c r="BT57" s="63" t="e">
        <f>ROUNDUP($AS59*$AW59*$BP57/(9*SQRT(3)*$AT60*$AW57),2)</f>
        <v>#VALUE!</v>
      </c>
      <c r="BU57" s="9">
        <f>IF(O57=0,0,ROUNDUP(SQRT((V57*M57/10*O57/10)/(S57*S57)),2))</f>
        <v>0</v>
      </c>
      <c r="BV57" s="3" t="e">
        <f>ROUND((+BC59+CB60+DA61)/(AY61*U57),2)</f>
        <v>#DIV/0!</v>
      </c>
      <c r="BW57" s="3" t="e">
        <f>ROUND((+BE59+CB60+DB61)/(AZ61*U57),2)</f>
        <v>#DIV/0!</v>
      </c>
      <c r="BX57" s="393"/>
      <c r="BY57" s="805" t="s">
        <v>269</v>
      </c>
      <c r="BZ57" s="805" t="s">
        <v>269</v>
      </c>
      <c r="CA57" s="632">
        <f>+準備!$G$20/100</f>
        <v>4.5</v>
      </c>
      <c r="CB57" s="632">
        <f>+準備!$G$24/100</f>
        <v>11</v>
      </c>
      <c r="CC57" s="632">
        <f>+準備!$G$28/100</f>
        <v>14</v>
      </c>
      <c r="CD57" s="632">
        <f>+準備!$G$32/100</f>
        <v>17.5</v>
      </c>
      <c r="CE57" s="632">
        <f>+準備!$G$36/100</f>
        <v>17.5</v>
      </c>
      <c r="CF57" s="632">
        <f>+準備!$G$38/100</f>
        <v>4</v>
      </c>
      <c r="CN57" s="3" t="s">
        <v>998</v>
      </c>
      <c r="CO57" s="3" t="s">
        <v>995</v>
      </c>
      <c r="CP57" s="3" t="s">
        <v>189</v>
      </c>
      <c r="CQ57" s="3" t="s">
        <v>996</v>
      </c>
      <c r="CR57" s="3" t="s">
        <v>189</v>
      </c>
      <c r="CS57" s="3" t="s">
        <v>1059</v>
      </c>
      <c r="CT57" s="3" t="s">
        <v>189</v>
      </c>
      <c r="CU57" s="3" t="s">
        <v>996</v>
      </c>
      <c r="CV57" s="2" t="s">
        <v>189</v>
      </c>
      <c r="CW57" s="548" t="s">
        <v>995</v>
      </c>
      <c r="CX57" s="548" t="s">
        <v>189</v>
      </c>
      <c r="CY57" s="548" t="s">
        <v>996</v>
      </c>
      <c r="CZ57" s="548" t="s">
        <v>189</v>
      </c>
      <c r="DA57" s="805" t="s">
        <v>269</v>
      </c>
      <c r="DB57" s="805" t="s">
        <v>269</v>
      </c>
      <c r="DC57" s="3" t="s">
        <v>189</v>
      </c>
      <c r="DE57" s="3" t="e">
        <f>ROUND(($CB59+DA60)/$CE60,1)</f>
        <v>#N/A</v>
      </c>
      <c r="DF57" s="3" t="e">
        <f>ROUND(($CC60+DC59)/$CE61,2)</f>
        <v>#N/A</v>
      </c>
      <c r="DG57" s="3" t="e">
        <f>ROUND(($CB60+$DA61)/$U57,1)</f>
        <v>#N/A</v>
      </c>
      <c r="DH57" s="3" t="e">
        <f>ROUND(($CB59+DB60)/$CE60,1)</f>
        <v>#N/A</v>
      </c>
      <c r="DI57" s="3" t="e">
        <f>ROUND(($CC60+DD59)/$CE61,2)</f>
        <v>#N/A</v>
      </c>
      <c r="DJ57" s="3" t="e">
        <f>ROUND(($CB60+DB61)/$U57,1)</f>
        <v>#N/A</v>
      </c>
      <c r="DK57" s="3" t="e">
        <f>ROUND(VLOOKUP(VALUE(RIGHT($L57,4)),許容応力!$B$6:$K$22,9)*1.1/3*100,0)</f>
        <v>#VALUE!</v>
      </c>
      <c r="DL57" s="3" t="e">
        <f>ROUND(VLOOKUP(VALUE(RIGHT($L57,4)),許容応力!$B$6:$K$22,9)*2/3*0.8*100,0)</f>
        <v>#VALUE!</v>
      </c>
      <c r="DM57" s="1253">
        <f>IF(AND(S57=0,W61=0),0,IF(T57=0,N$181*AR10*Z61/100,ROUND(POWER(S57*T57,2)/(M57/10*O57/10),2)))</f>
        <v>0</v>
      </c>
    </row>
    <row r="58" spans="2:117" x14ac:dyDescent="0.15">
      <c r="B58" s="1715"/>
      <c r="C58" s="1676"/>
      <c r="D58" s="439"/>
      <c r="E58" s="1677"/>
      <c r="F58" s="1555"/>
      <c r="G58" s="440" t="s">
        <v>1064</v>
      </c>
      <c r="H58" s="440" t="s">
        <v>1062</v>
      </c>
      <c r="I58" s="801"/>
      <c r="J58" s="801"/>
      <c r="K58" s="801"/>
      <c r="L58" s="1658"/>
      <c r="M58" s="1653"/>
      <c r="N58" s="1258"/>
      <c r="O58" s="1258"/>
      <c r="P58" s="1258"/>
      <c r="Q58" s="1392"/>
      <c r="R58" s="1660"/>
      <c r="S58" s="1507"/>
      <c r="T58" s="1254"/>
      <c r="U58" s="1272"/>
      <c r="V58" s="1254"/>
      <c r="W58" s="1653"/>
      <c r="X58" s="1258"/>
      <c r="Y58" s="1258"/>
      <c r="Z58" s="1254"/>
      <c r="AA58" s="1258"/>
      <c r="AB58" s="1258"/>
      <c r="AC58" s="1254"/>
      <c r="AD58" s="160"/>
      <c r="AE58" s="432"/>
      <c r="AF58" s="433"/>
      <c r="AG58" s="434"/>
      <c r="AH58" s="1254"/>
      <c r="AI58" s="1254"/>
      <c r="AJ58" s="1673"/>
      <c r="AK58" s="184">
        <f>+IF(G62=0,0,"1/")</f>
        <v>0</v>
      </c>
      <c r="AL58" s="185">
        <f>IF(J62=0,0,+BC62)</f>
        <v>0</v>
      </c>
      <c r="AM58" s="597"/>
      <c r="AN58" s="407"/>
      <c r="AQ58" s="638" t="s">
        <v>1023</v>
      </c>
      <c r="AR58" s="3">
        <f>ROUND(AR57*(G57+H57)/2*(I57+J57)/2,0)</f>
        <v>0</v>
      </c>
      <c r="AS58" s="3" t="e">
        <f>ROUND(AS57*(G57+H57)/2*(I57+J57)/2,0)</f>
        <v>#VALUE!</v>
      </c>
      <c r="AT58" s="3" t="s">
        <v>1029</v>
      </c>
      <c r="AU58" s="640">
        <f>+J62*100</f>
        <v>0</v>
      </c>
      <c r="AV58" s="3" t="s">
        <v>1031</v>
      </c>
      <c r="AW58" s="640">
        <f>+L62*100</f>
        <v>0</v>
      </c>
      <c r="AX58" s="3" t="s">
        <v>1034</v>
      </c>
      <c r="AY58" s="3" t="e">
        <f>ROUND($AW58*$AW59/$AW57*$AR59,1)</f>
        <v>#DIV/0!</v>
      </c>
      <c r="AZ58" s="641">
        <f>+AW59</f>
        <v>0</v>
      </c>
      <c r="BA58" s="640">
        <f>+AU58</f>
        <v>0</v>
      </c>
      <c r="BB58" s="3" t="e">
        <f>ROUND($AY58*$BA58/$AZ58+$AY57,0)</f>
        <v>#DIV/0!</v>
      </c>
      <c r="BC58" s="3" t="s">
        <v>1036</v>
      </c>
      <c r="BD58" s="3" t="e">
        <f>ROUND($AW58*$AW59/$AW57*$AS59,1)</f>
        <v>#DIV/0!</v>
      </c>
      <c r="BE58" s="3" t="e">
        <f>ROUND($BD58*$BA58/$AZ58+$BD57,0)</f>
        <v>#DIV/0!</v>
      </c>
      <c r="BF58" s="3" t="s">
        <v>1040</v>
      </c>
      <c r="BG58" s="3" t="e">
        <f>ROUND($AW58/$AW57*$AR59,0)</f>
        <v>#DIV/0!</v>
      </c>
      <c r="BH58" s="3" t="e">
        <f>ROUND($AW59/$AW57*$AR59,0)</f>
        <v>#DIV/0!</v>
      </c>
      <c r="BI58" s="3" t="s">
        <v>1044</v>
      </c>
      <c r="BJ58" s="3" t="e">
        <f>ROUND($AW58/$AW57*$AS59,0)</f>
        <v>#DIV/0!</v>
      </c>
      <c r="BK58" s="3" t="e">
        <f>ROUND($AW59/$AW57*$AS59,0)</f>
        <v>#DIV/0!</v>
      </c>
      <c r="BM58" s="3">
        <f>ROUND(POWER($AW57,2)-POWER($AW58,2),0)</f>
        <v>0</v>
      </c>
      <c r="BN58" s="3">
        <f>ROUND(POWER($AW57,2)-POWER($AW59,2),0)</f>
        <v>0</v>
      </c>
      <c r="BO58" s="3">
        <f>+SQRT(POWER(BM58,3))</f>
        <v>0</v>
      </c>
      <c r="BP58" s="3">
        <f>+SQRT(POWER(BN58,3))</f>
        <v>0</v>
      </c>
      <c r="BQ58" s="63" t="e">
        <f>ROUNDUP($BR57*$AU58/$AW59,2)</f>
        <v>#VALUE!</v>
      </c>
      <c r="BR58" s="63" t="e">
        <f>ROUNDUP($BQ57*$AW58/$AU59,2)</f>
        <v>#VALUE!</v>
      </c>
      <c r="BS58" s="63" t="e">
        <f>ROUNDUP($BT57*$AU58/$AW59,2)</f>
        <v>#VALUE!</v>
      </c>
      <c r="BT58" s="63" t="e">
        <f>ROUNDUP($BS57*$AW58/$AU59,2)</f>
        <v>#VALUE!</v>
      </c>
      <c r="BU58" s="9">
        <f>IF(O58=0,0,ROUNDUP(SQRT(IF(R58=0,(V58*(O58/10-6)*(O58/10-3)),(V58*(R58/10-6)*(R58/10-3)))/(S58*S58)),2))</f>
        <v>0</v>
      </c>
      <c r="BV58" s="3" t="e">
        <f>ROUND((+BC59+CB60+DA61)/(AY62*S58*T58),2)</f>
        <v>#DIV/0!</v>
      </c>
      <c r="BW58" s="3" t="e">
        <f>ROUND((+BE59+CB60+DB61)/(AZ62*S58*T58),2)</f>
        <v>#DIV/0!</v>
      </c>
      <c r="BX58" s="78"/>
      <c r="BY58" s="87" t="e">
        <f>IF(OR(BV59=0,BV59=1),0,ROUNDUP((準備!$G$60/100+準備!$D$48/100)*((F62+G62)/2*100)/200,2))</f>
        <v>#N/A</v>
      </c>
      <c r="BZ58" s="87" t="e">
        <f>+BY58</f>
        <v>#N/A</v>
      </c>
      <c r="CA58" s="3">
        <f t="shared" ref="CA58:CF58" si="10">ROUND(CA57*$I63,2)</f>
        <v>0</v>
      </c>
      <c r="CB58" s="3">
        <f t="shared" si="10"/>
        <v>0</v>
      </c>
      <c r="CC58" s="3">
        <f t="shared" si="10"/>
        <v>0</v>
      </c>
      <c r="CD58" s="3">
        <f t="shared" si="10"/>
        <v>0</v>
      </c>
      <c r="CE58" s="3">
        <f t="shared" si="10"/>
        <v>0</v>
      </c>
      <c r="CF58" s="3">
        <f t="shared" si="10"/>
        <v>0</v>
      </c>
      <c r="CJ58" s="63" t="e">
        <f>+ROUNDUP(CO58/3,-1)*3</f>
        <v>#DIV/0!</v>
      </c>
      <c r="CK58" s="63" t="e">
        <f>+ROUNDUP(CP58/3,-1)*3</f>
        <v>#VALUE!</v>
      </c>
      <c r="CL58" s="63" t="e">
        <f>+ROUNDUP(CQ58/3,-1)*3</f>
        <v>#DIV/0!</v>
      </c>
      <c r="CM58" s="63" t="e">
        <f>+ROUNDUP(CR58/3,-1)*3</f>
        <v>#VALUE!</v>
      </c>
      <c r="CN58" s="649" t="e">
        <f>MAX(CJ58:CM58)</f>
        <v>#DIV/0!</v>
      </c>
      <c r="CO58" s="63" t="e">
        <f>ROUNDUP(SQRT(ROUND($CS58/$AW61*6/($M57/10)/IF($W57=0,1,$W57),1))*10,0)</f>
        <v>#DIV/0!</v>
      </c>
      <c r="CP58" s="3" t="e">
        <f>POWER(ROUNDDOWN($CT58/($M57/10)*12,0)/IF($W57=0,1,$W57)/$BD61,1/3)*10</f>
        <v>#VALUE!</v>
      </c>
      <c r="CQ58" s="63" t="e">
        <f>ROUNDUP(SQRT(ROUND($CU58/$AX61*6/($M57/10)/IF($W57=0,1,$W57),1))*10,0)</f>
        <v>#DIV/0!</v>
      </c>
      <c r="CR58" s="3" t="e">
        <f>POWER(ROUNDDOWN($CV58/($M57/10)*12,0)/IF($W57=0,1,$W57)/$BD61,1/3)*10</f>
        <v>#VALUE!</v>
      </c>
      <c r="CS58" s="63" t="e">
        <f>+AY59+CB59+DA60</f>
        <v>#DIV/0!</v>
      </c>
      <c r="CT58" s="63" t="e">
        <f>+IF(BQ59&gt;=BR59,BQ59+CC60+DC59,BR59+CC60+DC59)</f>
        <v>#VALUE!</v>
      </c>
      <c r="CU58" s="63" t="e">
        <f>+BA59+CB59+DB60</f>
        <v>#DIV/0!</v>
      </c>
      <c r="CV58" s="78" t="e">
        <f>+IF(BS59&gt;=BT59,BS59+CC60+DD59,BT59+CC60+DD59)</f>
        <v>#VALUE!</v>
      </c>
      <c r="CW58" s="548" t="e">
        <f>+CO58</f>
        <v>#DIV/0!</v>
      </c>
      <c r="CX58" s="548" t="e">
        <f>+CP58</f>
        <v>#VALUE!</v>
      </c>
      <c r="CY58" s="548" t="e">
        <f>CQ58</f>
        <v>#DIV/0!</v>
      </c>
      <c r="CZ58" s="548" t="e">
        <f>+CR58</f>
        <v>#VALUE!</v>
      </c>
      <c r="DA58" s="87">
        <f>IF(OR($BV59=0,$BV59=1),0,ROUND((準備!$G$6+$AT57)*$G62/200,2))</f>
        <v>0</v>
      </c>
      <c r="DB58" s="87" t="e">
        <f>IF(OR($BV59=0,$BV59=1),0,ROUND((準備!$G$6+$AU57)*$G62/200,2))</f>
        <v>#VALUE!</v>
      </c>
      <c r="DC58" s="3" t="s">
        <v>168</v>
      </c>
      <c r="DD58" s="3" t="s">
        <v>203</v>
      </c>
      <c r="DE58" s="3" t="e">
        <f t="shared" ref="DE58:DJ58" si="11">+DE57</f>
        <v>#N/A</v>
      </c>
      <c r="DF58" s="3" t="e">
        <f t="shared" si="11"/>
        <v>#N/A</v>
      </c>
      <c r="DG58" s="3" t="e">
        <f t="shared" si="11"/>
        <v>#N/A</v>
      </c>
      <c r="DH58" s="3" t="e">
        <f t="shared" si="11"/>
        <v>#N/A</v>
      </c>
      <c r="DI58" s="3" t="e">
        <f t="shared" si="11"/>
        <v>#N/A</v>
      </c>
      <c r="DJ58" s="3" t="e">
        <f t="shared" si="11"/>
        <v>#N/A</v>
      </c>
      <c r="DK58" s="3" t="e">
        <f>ROUND(DA58*M62*100/2/DK57/AH57,2)</f>
        <v>#VALUE!</v>
      </c>
      <c r="DL58" s="3" t="e">
        <f>ROUND(DB58*M62*100/2/DL57/AH57,2)</f>
        <v>#VALUE!</v>
      </c>
      <c r="DM58" s="1254"/>
    </row>
    <row r="59" spans="2:117" x14ac:dyDescent="0.15">
      <c r="B59" s="1715"/>
      <c r="C59" s="1270"/>
      <c r="D59" s="194"/>
      <c r="E59" s="1270"/>
      <c r="F59" s="1254"/>
      <c r="G59" s="475"/>
      <c r="H59" s="475"/>
      <c r="I59" s="801"/>
      <c r="J59" s="801">
        <f>+J57</f>
        <v>0</v>
      </c>
      <c r="K59" s="802"/>
      <c r="L59" s="194"/>
      <c r="M59" s="176"/>
      <c r="N59" s="176"/>
      <c r="O59" s="176"/>
      <c r="P59" s="176"/>
      <c r="Q59" s="451"/>
      <c r="R59" s="451"/>
      <c r="S59" s="878"/>
      <c r="T59" s="1307" t="s">
        <v>1154</v>
      </c>
      <c r="U59" s="1308"/>
      <c r="V59" s="1308"/>
      <c r="W59" s="1308"/>
      <c r="X59" s="1308"/>
      <c r="Y59" s="1308"/>
      <c r="Z59" s="1621"/>
      <c r="AA59" s="176"/>
      <c r="AB59" s="176"/>
      <c r="AC59" s="176"/>
      <c r="AD59" s="176"/>
      <c r="AE59" s="176"/>
      <c r="AF59" s="176"/>
      <c r="AG59" s="176"/>
      <c r="AH59" s="176"/>
      <c r="AI59" s="176"/>
      <c r="AJ59" s="176"/>
      <c r="AK59" s="176"/>
      <c r="AL59" s="469"/>
      <c r="AM59" s="302"/>
      <c r="AQ59" s="638" t="s">
        <v>1024</v>
      </c>
      <c r="AR59" s="3">
        <f>ROUND(AR57*(G59+H59)/2*(K59+J59)/2,0)</f>
        <v>0</v>
      </c>
      <c r="AS59" s="3" t="e">
        <f>ROUND(AS57*(G59+H59)/2*(K59+J59)/2,0)</f>
        <v>#VALUE!</v>
      </c>
      <c r="AT59" s="3" t="s">
        <v>1030</v>
      </c>
      <c r="AU59" s="641">
        <f>(+K62+L62)*100</f>
        <v>0</v>
      </c>
      <c r="AV59" s="3" t="s">
        <v>1032</v>
      </c>
      <c r="AW59" s="641">
        <f>(+J62+K62)*100</f>
        <v>0</v>
      </c>
      <c r="AX59" s="3" t="s">
        <v>1037</v>
      </c>
      <c r="AY59" s="548" t="e">
        <f>+IF(BB57&gt;=BB58,BB57,BB58)</f>
        <v>#DIV/0!</v>
      </c>
      <c r="AZ59" s="3" t="s">
        <v>1038</v>
      </c>
      <c r="BA59" s="548" t="e">
        <f>+IF(BE57&gt;=BE58,BE57,BE58)</f>
        <v>#DIV/0!</v>
      </c>
      <c r="BB59" s="3" t="s">
        <v>1041</v>
      </c>
      <c r="BC59" s="548" t="e">
        <f>+IF(BG59&gt;=BH59,BG59,BH59)</f>
        <v>#DIV/0!</v>
      </c>
      <c r="BD59" s="3" t="s">
        <v>1042</v>
      </c>
      <c r="BE59" s="548" t="e">
        <f>+IF(BJ59&gt;=BK59,BJ59,BK59)</f>
        <v>#DIV/0!</v>
      </c>
      <c r="BG59" s="3" t="e">
        <f>SUM(BG57:BG58)</f>
        <v>#DIV/0!</v>
      </c>
      <c r="BH59" s="3" t="e">
        <f>SUM(BH57:BH58)</f>
        <v>#DIV/0!</v>
      </c>
      <c r="BJ59" s="3" t="e">
        <f>SUM(BJ57:BJ58)</f>
        <v>#DIV/0!</v>
      </c>
      <c r="BK59" s="3" t="e">
        <f>SUM(BK57:BK58)</f>
        <v>#DIV/0!</v>
      </c>
      <c r="BM59" s="3">
        <f t="shared" ref="BM59:BT59" si="12">SUM(BM57:BM58)</f>
        <v>0</v>
      </c>
      <c r="BN59" s="3">
        <f t="shared" si="12"/>
        <v>0</v>
      </c>
      <c r="BO59" s="3">
        <f t="shared" si="12"/>
        <v>0</v>
      </c>
      <c r="BP59" s="3">
        <f t="shared" si="12"/>
        <v>0</v>
      </c>
      <c r="BQ59" s="3" t="e">
        <f t="shared" si="12"/>
        <v>#VALUE!</v>
      </c>
      <c r="BR59" s="3" t="e">
        <f t="shared" si="12"/>
        <v>#VALUE!</v>
      </c>
      <c r="BS59" s="3" t="e">
        <f t="shared" si="12"/>
        <v>#VALUE!</v>
      </c>
      <c r="BT59" s="3" t="e">
        <f t="shared" si="12"/>
        <v>#VALUE!</v>
      </c>
      <c r="BU59" s="3" t="s">
        <v>1012</v>
      </c>
      <c r="BV59" s="3">
        <f>IF(D60=0,0,+VALUE(RIGHT(D60,4)))</f>
        <v>2</v>
      </c>
      <c r="BW59" s="3" t="s">
        <v>1003</v>
      </c>
      <c r="BX59" s="3" t="e">
        <f>+VALUE(RIGHT(G63,4))</f>
        <v>#VALUE!</v>
      </c>
      <c r="BY59" s="3">
        <f>IF(OR(BV60=0,BV60=2),0,HLOOKUP(BX59,CA56:CF58,3))</f>
        <v>0</v>
      </c>
      <c r="BZ59" s="3">
        <f>+BY59</f>
        <v>0</v>
      </c>
      <c r="CA59" s="3" t="s">
        <v>1019</v>
      </c>
      <c r="CB59" s="3" t="e">
        <f>BY60*POWER(AW57,2)/8</f>
        <v>#N/A</v>
      </c>
      <c r="CC59" s="3" t="s">
        <v>189</v>
      </c>
      <c r="CD59" s="3" t="s">
        <v>782</v>
      </c>
      <c r="CE59" s="3" t="e">
        <f>ROUNDUP(+SQRT((CB59+DA60)*6/(AW61*M57/10)),0)</f>
        <v>#N/A</v>
      </c>
      <c r="CJ59" s="63" t="e">
        <f>IF(W58=0.8,VLOOKUP(CW59,$AR$398:$AS$443,2),IF(W58=0.9,VLOOKUP(CW59,$AR$351:$AS$396,2),VLOOKUP(CW59,$AR$304:$AS$349,2)))</f>
        <v>#DIV/0!</v>
      </c>
      <c r="CK59" s="63" t="e">
        <f>IF(W58=0.8,VLOOKUP(CX59,$AT$398:$AU$443,2),IF(W58=0.9,VLOOKUP(CX59,$AT$351:$AU$396,2),VLOOKUP(CX59,$AT$304:$AU$349,2)))</f>
        <v>#VALUE!</v>
      </c>
      <c r="CL59" s="63" t="e">
        <f>IF(W58=0.8,VLOOKUP(CY59,$AR$398:$AS$443,2),IF(W58=0.9,VLOOKUP(CY59,$AR$351:$AS$396,2),VLOOKUP(CY59,$AR$304:$AS$349,2)))</f>
        <v>#DIV/0!</v>
      </c>
      <c r="CM59" s="63" t="e">
        <f>IF(W58=0.8,VLOOKUP(CZ59,$AT$398:$AU$443,2),IF(W58=0.9,VLOOKUP(CZ59,$AT$351:$AU$397,2),VLOOKUP(CZ59,$AT$304:$AU$349,2)))</f>
        <v>#VALUE!</v>
      </c>
      <c r="CN59" s="649" t="e">
        <f>MAX(CJ59:CM59)</f>
        <v>#DIV/0!</v>
      </c>
      <c r="CO59" s="63" t="e">
        <f>ROUNDUP(CS59/$AW61/IF(W58=0,1,W58),1)</f>
        <v>#DIV/0!</v>
      </c>
      <c r="CP59" s="63" t="e">
        <f>ROUNDUP($CT59/($BD61*AT61),2)</f>
        <v>#VALUE!</v>
      </c>
      <c r="CQ59" s="63" t="e">
        <f>ROUNDUP(CU59/$AX61/IF(W58=0,1,W58),1)</f>
        <v>#DIV/0!</v>
      </c>
      <c r="CR59" s="63" t="e">
        <f>ROUNDUP($CV59/($BD61*AT61),2)</f>
        <v>#VALUE!</v>
      </c>
      <c r="CS59" s="63" t="e">
        <f>+CS58</f>
        <v>#DIV/0!</v>
      </c>
      <c r="CT59" s="3" t="e">
        <f>+CT58</f>
        <v>#VALUE!</v>
      </c>
      <c r="CU59" s="3" t="e">
        <f>+CU58</f>
        <v>#DIV/0!</v>
      </c>
      <c r="CV59" s="2" t="e">
        <f>+CV58</f>
        <v>#VALUE!</v>
      </c>
      <c r="CW59" s="548" t="e">
        <f>+CO59</f>
        <v>#DIV/0!</v>
      </c>
      <c r="CX59" s="548" t="e">
        <f>+CP59</f>
        <v>#VALUE!</v>
      </c>
      <c r="CY59" s="548" t="e">
        <f>CQ59</f>
        <v>#DIV/0!</v>
      </c>
      <c r="CZ59" s="548" t="e">
        <f>+CR59</f>
        <v>#VALUE!</v>
      </c>
      <c r="DC59" s="3" t="e">
        <f>5*DA58*POWER(N62,4)/(384*AT60)</f>
        <v>#VALUE!</v>
      </c>
      <c r="DD59" s="3" t="e">
        <f>5*DB58*POWER(N62,4)/(384*AT60)</f>
        <v>#VALUE!</v>
      </c>
      <c r="DE59" s="412" t="s">
        <v>1065</v>
      </c>
      <c r="DF59" s="349" t="s">
        <v>1066</v>
      </c>
      <c r="DG59" s="412" t="s">
        <v>1067</v>
      </c>
      <c r="DH59" s="412" t="s">
        <v>1065</v>
      </c>
      <c r="DI59" s="349" t="s">
        <v>1066</v>
      </c>
      <c r="DJ59" s="412" t="s">
        <v>1067</v>
      </c>
    </row>
    <row r="60" spans="2:117" x14ac:dyDescent="0.15">
      <c r="B60" s="1715"/>
      <c r="C60" s="1679" t="s">
        <v>980</v>
      </c>
      <c r="D60" s="1403" t="s">
        <v>961</v>
      </c>
      <c r="E60" s="1404"/>
      <c r="F60" s="1407" t="s">
        <v>964</v>
      </c>
      <c r="G60" s="1408"/>
      <c r="H60" s="1669" t="s">
        <v>1025</v>
      </c>
      <c r="I60" s="1679" t="s">
        <v>970</v>
      </c>
      <c r="J60" s="1277" t="s">
        <v>1060</v>
      </c>
      <c r="K60" s="1671"/>
      <c r="L60" s="1671"/>
      <c r="M60" s="1278"/>
      <c r="N60" s="194"/>
      <c r="O60" s="194"/>
      <c r="P60" s="194"/>
      <c r="Q60" s="194"/>
      <c r="R60" s="1342"/>
      <c r="S60" s="1406"/>
      <c r="T60" s="877" t="s">
        <v>1265</v>
      </c>
      <c r="U60" s="877" t="s">
        <v>1266</v>
      </c>
      <c r="V60" s="877" t="s">
        <v>1267</v>
      </c>
      <c r="W60" s="877" t="s">
        <v>1260</v>
      </c>
      <c r="X60" s="877" t="s">
        <v>1268</v>
      </c>
      <c r="Y60" s="440" t="s">
        <v>1151</v>
      </c>
      <c r="Z60" s="440" t="s">
        <v>1153</v>
      </c>
      <c r="AA60" s="194"/>
      <c r="AB60" s="194"/>
      <c r="AC60" s="194"/>
      <c r="AD60" s="194"/>
      <c r="AE60" s="194"/>
      <c r="AF60" s="194"/>
      <c r="AG60" s="194"/>
      <c r="AH60" s="194"/>
      <c r="AI60" s="194"/>
      <c r="AJ60" s="194"/>
      <c r="AK60" s="194"/>
      <c r="AL60" s="181"/>
      <c r="AM60" s="302"/>
      <c r="AQ60" s="3" t="s">
        <v>15</v>
      </c>
      <c r="AR60" s="3" t="e">
        <f>+VALUE(RIGHT(L57,4))</f>
        <v>#VALUE!</v>
      </c>
      <c r="AS60" s="615" t="s">
        <v>880</v>
      </c>
      <c r="AT60" s="642" t="e">
        <f>+VLOOKUP(VALUE(RIGHT(L57,4)),許容応力!$B$6:$K$22,10)*100</f>
        <v>#VALUE!</v>
      </c>
      <c r="AU60" s="615" t="s">
        <v>881</v>
      </c>
      <c r="AV60" s="520">
        <f>+BN59</f>
        <v>0</v>
      </c>
      <c r="AW60" s="3" t="s">
        <v>997</v>
      </c>
      <c r="AX60" s="3" t="s">
        <v>294</v>
      </c>
      <c r="AY60" s="52" t="s">
        <v>498</v>
      </c>
      <c r="AZ60" s="52" t="s">
        <v>499</v>
      </c>
      <c r="BA60" s="52" t="s">
        <v>500</v>
      </c>
      <c r="BB60" s="52" t="s">
        <v>501</v>
      </c>
      <c r="BC60" s="805" t="s">
        <v>295</v>
      </c>
      <c r="BD60" s="805" t="s">
        <v>296</v>
      </c>
      <c r="BE60" s="52" t="s">
        <v>287</v>
      </c>
      <c r="BF60" s="805" t="s">
        <v>288</v>
      </c>
      <c r="BG60" s="52" t="s">
        <v>490</v>
      </c>
      <c r="BH60" s="52" t="s">
        <v>289</v>
      </c>
      <c r="BI60" s="805" t="s">
        <v>290</v>
      </c>
      <c r="BJ60" s="52" t="s">
        <v>493</v>
      </c>
      <c r="BK60" s="805" t="s">
        <v>291</v>
      </c>
      <c r="BL60" s="805" t="s">
        <v>292</v>
      </c>
      <c r="BM60" s="412" t="s">
        <v>1020</v>
      </c>
      <c r="BN60" s="412" t="s">
        <v>1021</v>
      </c>
      <c r="BU60" s="3" t="s">
        <v>1002</v>
      </c>
      <c r="BV60" s="3">
        <f>IF(E63=0,0,+VALUE(RIGHT(E63,4)))</f>
        <v>0</v>
      </c>
      <c r="BX60" s="3" t="s">
        <v>1011</v>
      </c>
      <c r="BY60" s="3" t="e">
        <f>+BY58+BY59</f>
        <v>#N/A</v>
      </c>
      <c r="BZ60" s="3" t="e">
        <f>+BZ58+BZ59</f>
        <v>#N/A</v>
      </c>
      <c r="CA60" s="3" t="s">
        <v>1018</v>
      </c>
      <c r="CB60" s="3" t="e">
        <f>+BY60*AW57/2</f>
        <v>#N/A</v>
      </c>
      <c r="CC60" s="3" t="e">
        <f>5*BY60*POWER(AW57,4)/(384*AT60)</f>
        <v>#N/A</v>
      </c>
      <c r="CD60" s="805" t="s">
        <v>291</v>
      </c>
      <c r="CE60" s="3" t="e">
        <f>ROUND(M57/10*POWER(CE59,2)/6,0)</f>
        <v>#N/A</v>
      </c>
      <c r="CZ60" s="3" t="s">
        <v>1019</v>
      </c>
      <c r="DA60" s="3">
        <f>+DA58*POWER(M62*100,2)/8</f>
        <v>0</v>
      </c>
      <c r="DB60" s="3" t="e">
        <f>+DB58*POWER(M62*100,2)/8</f>
        <v>#VALUE!</v>
      </c>
      <c r="DE60" s="3" t="e">
        <f>ROUND(DE57/AW61,2)</f>
        <v>#N/A</v>
      </c>
      <c r="DF60" s="3" t="e">
        <f>ROUND(DF57/BD61,2)</f>
        <v>#N/A</v>
      </c>
      <c r="DG60" s="3" t="e">
        <f>ROUND(DG57/AY61,2)</f>
        <v>#N/A</v>
      </c>
      <c r="DH60" s="3" t="e">
        <f>ROUND(DH57/AX61,2)</f>
        <v>#N/A</v>
      </c>
      <c r="DI60" s="3" t="e">
        <f>ROUND(DF57/BD61,2)</f>
        <v>#N/A</v>
      </c>
      <c r="DJ60" s="3" t="e">
        <f>ROUND(DG57/AZ61,2)</f>
        <v>#N/A</v>
      </c>
    </row>
    <row r="61" spans="2:117" x14ac:dyDescent="0.15">
      <c r="B61" s="1715"/>
      <c r="C61" s="1409"/>
      <c r="D61" s="1405"/>
      <c r="E61" s="1406"/>
      <c r="F61" s="411" t="s">
        <v>971</v>
      </c>
      <c r="G61" s="587" t="s">
        <v>1071</v>
      </c>
      <c r="H61" s="1254"/>
      <c r="I61" s="1409"/>
      <c r="J61" s="586" t="s">
        <v>965</v>
      </c>
      <c r="K61" s="586" t="s">
        <v>1022</v>
      </c>
      <c r="L61" s="586" t="s">
        <v>966</v>
      </c>
      <c r="M61" s="470" t="s">
        <v>1026</v>
      </c>
      <c r="N61" s="592" t="s">
        <v>1071</v>
      </c>
      <c r="O61" s="456" t="s">
        <v>1072</v>
      </c>
      <c r="P61" s="457"/>
      <c r="Q61" s="876"/>
      <c r="R61" s="1382"/>
      <c r="S61" s="1406"/>
      <c r="T61" s="1029"/>
      <c r="U61" s="1029"/>
      <c r="V61" s="882">
        <f>+IF(U61=0,0,6)</f>
        <v>0</v>
      </c>
      <c r="W61" s="1029"/>
      <c r="X61" s="1029"/>
      <c r="Y61" s="1018">
        <f>IF(X61=0,0,+$N$170)</f>
        <v>0</v>
      </c>
      <c r="Z61" s="574">
        <f>IF(X61=0,0,+VLOOKUP(Y61,$I$189:$J$194,2))</f>
        <v>0</v>
      </c>
      <c r="AA61" s="194"/>
      <c r="AB61" s="194"/>
      <c r="AC61" s="194"/>
      <c r="AD61" s="194"/>
      <c r="AE61" s="194"/>
      <c r="AF61" s="194"/>
      <c r="AG61" s="194"/>
      <c r="AH61" s="194"/>
      <c r="AI61" s="194"/>
      <c r="AJ61" s="194"/>
      <c r="AK61" s="194"/>
      <c r="AL61" s="181"/>
      <c r="AM61" s="302"/>
      <c r="AQ61" s="638" t="s">
        <v>1055</v>
      </c>
      <c r="AR61" s="409">
        <f>+VALUE(RIGHT($G$52,3))</f>
        <v>2</v>
      </c>
      <c r="AS61" s="520" t="s">
        <v>241</v>
      </c>
      <c r="AT61" s="3">
        <f>+IF(OR(W58=0,W58=1),1,W58)</f>
        <v>1</v>
      </c>
      <c r="AW61" s="10" t="e">
        <f>IF(AR61=2,ROUND(VLOOKUP(AR60,許容応力!$B$6:$K$22,7)*1.1/3*100,0),ROUND(VLOOKUP(AR60,許容応力!$B$6:$K$22,7)*1.1/3*1.3*100,0))</f>
        <v>#VALUE!</v>
      </c>
      <c r="AX61" s="63" t="e">
        <f>ROUND(VLOOKUP(AR60,許容応力!$B$6:$K$22,7)*100*2/3*0.8,0)</f>
        <v>#VALUE!</v>
      </c>
      <c r="AY61" s="10" t="e">
        <f>IF(AR61=2,ROUND(VLOOKUP(AR60,許容応力!$B$6:$K$22,8)*1.1/3*100,0),ROUND(VLOOKUP(AR60,許容応力!$B$6:$K$22,8)*1.1/3*1.3*100,0))</f>
        <v>#VALUE!</v>
      </c>
      <c r="AZ61" s="63" t="e">
        <f>ROUND(VLOOKUP(AR60,許容応力!$B$6:$K$22,8)*100*2/3*0.8,0)</f>
        <v>#VALUE!</v>
      </c>
      <c r="BA61" s="10" t="e">
        <f>IF(AR61=2,ROUND(VLOOKUP(AR60,許容応力!$B$6:$K$22,9)*1.1/3*100,0),ROUND(VLOOKUP(AR60,許容応力!$B$6:$K$22,9)*1.1/3*1.3*100,0))</f>
        <v>#VALUE!</v>
      </c>
      <c r="BB61" s="63" t="e">
        <f>ROUND(VLOOKUP(AR60,許容応力!$B$6:$K$22,9)*100*2/3*0.8,0)</f>
        <v>#VALUE!</v>
      </c>
      <c r="BC61" s="63">
        <f>IF(AR61=2,400,200)</f>
        <v>400</v>
      </c>
      <c r="BD61" s="63">
        <f>ROUND(AW57/BC61,2)</f>
        <v>0</v>
      </c>
      <c r="BE61" s="3" t="e">
        <f>ROUND(($AY59+CB59+DA60)/$BK61,1)</f>
        <v>#DIV/0!</v>
      </c>
      <c r="BF61" s="3" t="e">
        <f>ROUND(($CT58)/$BL61,2)</f>
        <v>#VALUE!</v>
      </c>
      <c r="BG61" s="63" t="e">
        <f>ROUND((BC59+CB60+DA61)/AY61,1)</f>
        <v>#DIV/0!</v>
      </c>
      <c r="BH61" s="3" t="e">
        <f>ROUND(($BA59+CB59+DB60)/$BK61,1)</f>
        <v>#DIV/0!</v>
      </c>
      <c r="BI61" s="3" t="e">
        <f>ROUNDDOWN(($CV58)/$BL61,1)</f>
        <v>#VALUE!</v>
      </c>
      <c r="BJ61" s="63" t="e">
        <f>ROUND((BE59+CB60+DB61)/AZ61,1)</f>
        <v>#DIV/0!</v>
      </c>
      <c r="BK61" s="63">
        <f>ROUNDDOWN(M57/10*POWER(O57/10,2)/6*IF(OR(W57=0,W57=1),1,W57),0)</f>
        <v>0</v>
      </c>
      <c r="BL61" s="63">
        <f>ROUNDUP(M57/10*POWER(O57/10,3)/12*IF(OR(W57=0,W57=1),1,W57),0)</f>
        <v>0</v>
      </c>
      <c r="BM61" s="63" t="e">
        <f>ROUND(BC59/(BA61*AH57),1)</f>
        <v>#DIV/0!</v>
      </c>
      <c r="BN61" s="63" t="e">
        <f>ROUND(BE59/(BB61*AH57),1)</f>
        <v>#DIV/0!</v>
      </c>
      <c r="CD61" s="805" t="s">
        <v>292</v>
      </c>
      <c r="CE61" s="3" t="e">
        <f>ROUND(M57/10*POWER(CE59,3)/12,0)</f>
        <v>#N/A</v>
      </c>
      <c r="CZ61" s="3" t="s">
        <v>1018</v>
      </c>
      <c r="DA61" s="3">
        <f>+DA58*M62*100/2</f>
        <v>0</v>
      </c>
      <c r="DB61" s="3" t="e">
        <f>+DB58*M62*100/2</f>
        <v>#VALUE!</v>
      </c>
      <c r="DE61" s="3" t="e">
        <f t="shared" ref="DE61:DJ61" si="13">+DE60</f>
        <v>#N/A</v>
      </c>
      <c r="DF61" s="3" t="e">
        <f t="shared" si="13"/>
        <v>#N/A</v>
      </c>
      <c r="DG61" s="3" t="e">
        <f t="shared" si="13"/>
        <v>#N/A</v>
      </c>
      <c r="DH61" s="3" t="e">
        <f t="shared" si="13"/>
        <v>#N/A</v>
      </c>
      <c r="DI61" s="3" t="e">
        <f t="shared" si="13"/>
        <v>#N/A</v>
      </c>
      <c r="DJ61" s="3" t="e">
        <f t="shared" si="13"/>
        <v>#N/A</v>
      </c>
    </row>
    <row r="62" spans="2:117" x14ac:dyDescent="0.15">
      <c r="B62" s="1715"/>
      <c r="C62" s="1410"/>
      <c r="D62" s="1322"/>
      <c r="E62" s="1211"/>
      <c r="F62" s="1028"/>
      <c r="G62" s="1028"/>
      <c r="H62" s="440">
        <f>ROUND((F62+G62)/2,2)</f>
        <v>0</v>
      </c>
      <c r="I62" s="1410"/>
      <c r="J62" s="1028"/>
      <c r="K62" s="476"/>
      <c r="L62" s="1028"/>
      <c r="M62" s="471">
        <f>SUM(J62:L62)</f>
        <v>0</v>
      </c>
      <c r="N62" s="440">
        <f>+M62*100</f>
        <v>0</v>
      </c>
      <c r="O62" s="302"/>
      <c r="P62" s="302"/>
      <c r="Q62" s="302"/>
      <c r="R62" s="302"/>
      <c r="S62" s="302"/>
      <c r="T62" s="302"/>
      <c r="U62" s="302"/>
      <c r="V62" s="302"/>
      <c r="W62" s="302"/>
      <c r="X62" s="302"/>
      <c r="Y62" s="1024">
        <f>IF(X61=0,0,+$N$169)</f>
        <v>0</v>
      </c>
      <c r="Z62" s="302"/>
      <c r="AA62" s="302"/>
      <c r="AB62" s="302"/>
      <c r="AC62" s="302"/>
      <c r="AD62" s="302"/>
      <c r="AE62" s="302"/>
      <c r="AF62" s="302"/>
      <c r="AG62" s="302"/>
      <c r="AH62" s="302"/>
      <c r="AI62" s="302"/>
      <c r="AJ62" s="302"/>
      <c r="AK62" s="302"/>
      <c r="AL62" s="181"/>
      <c r="AM62" s="302"/>
      <c r="AW62" s="3" t="e">
        <f>+AW61</f>
        <v>#VALUE!</v>
      </c>
      <c r="AX62" s="3" t="e">
        <f t="shared" ref="AX62:BD62" si="14">+AX61</f>
        <v>#VALUE!</v>
      </c>
      <c r="AY62" s="3" t="e">
        <f t="shared" si="14"/>
        <v>#VALUE!</v>
      </c>
      <c r="AZ62" s="3" t="e">
        <f t="shared" si="14"/>
        <v>#VALUE!</v>
      </c>
      <c r="BA62" s="3" t="e">
        <f t="shared" si="14"/>
        <v>#VALUE!</v>
      </c>
      <c r="BB62" s="3" t="e">
        <f t="shared" si="14"/>
        <v>#VALUE!</v>
      </c>
      <c r="BC62" s="3">
        <f t="shared" si="14"/>
        <v>400</v>
      </c>
      <c r="BD62" s="3">
        <f t="shared" si="14"/>
        <v>0</v>
      </c>
      <c r="BE62" s="3" t="e">
        <f>ROUND((CB59+$AY59+DA60)/$BK62,1)</f>
        <v>#N/A</v>
      </c>
      <c r="BF62" s="3" t="e">
        <f>ROUND(($CT59)/$BL62,2)</f>
        <v>#VALUE!</v>
      </c>
      <c r="BG62" s="63" t="e">
        <f>ROUND((BC59+CB60+DA61)/AY61,1)</f>
        <v>#DIV/0!</v>
      </c>
      <c r="BH62" s="3" t="e">
        <f>ROUND(($BA59+CB59+DB60)/$BK62,1)</f>
        <v>#DIV/0!</v>
      </c>
      <c r="BI62" s="3" t="e">
        <f>ROUND(($CV59)/$BL62,2)</f>
        <v>#VALUE!</v>
      </c>
      <c r="BJ62" s="63" t="e">
        <f>ROUND((BE59+CB60+DB61)/AZ61,1)</f>
        <v>#DIV/0!</v>
      </c>
      <c r="BK62" s="63">
        <f>IF(O58&lt;180,ROUND((O58/10-3)*POWER(O58/10-3,2)/6*IF(EX58=0,1,W58),0),ROUND((O58/10-5)*POWER((O58/10-3),2)/6*IF(W58=0,1,W58),0))</f>
        <v>-5</v>
      </c>
      <c r="BL62" s="63">
        <f>ROUND(IF(O58&lt;180,(O58/10-3)*POWER((O58/10-3),3)/12*IF(W58=0,1,W58),(O58/10-5))*POWER((O58/10-3),3)/12*IF(W58=0,1,W58),0)</f>
        <v>-15</v>
      </c>
      <c r="BM62" s="63" t="e">
        <f>+BM61</f>
        <v>#DIV/0!</v>
      </c>
      <c r="BN62" s="63" t="e">
        <f>+BN61</f>
        <v>#DIV/0!</v>
      </c>
    </row>
    <row r="63" spans="2:117" ht="15" thickBot="1" x14ac:dyDescent="0.2">
      <c r="B63" s="1716"/>
      <c r="C63" s="1411" t="s">
        <v>1002</v>
      </c>
      <c r="D63" s="1412"/>
      <c r="E63" s="1150"/>
      <c r="F63" s="472" t="s">
        <v>1003</v>
      </c>
      <c r="G63" s="1136"/>
      <c r="H63" s="459" t="s">
        <v>1004</v>
      </c>
      <c r="I63" s="460"/>
      <c r="J63" s="466"/>
      <c r="K63" s="473"/>
      <c r="L63" s="473"/>
      <c r="M63" s="473"/>
      <c r="N63" s="473"/>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175"/>
      <c r="AM63" s="302"/>
    </row>
    <row r="64" spans="2:117" ht="15" thickBot="1" x14ac:dyDescent="0.2">
      <c r="B64" s="1344" t="s">
        <v>1073</v>
      </c>
      <c r="C64" s="671"/>
      <c r="D64" s="665"/>
      <c r="E64" s="672"/>
      <c r="F64" s="670"/>
      <c r="G64" s="666" t="s">
        <v>1061</v>
      </c>
      <c r="H64" s="666" t="s">
        <v>1063</v>
      </c>
      <c r="I64" s="799" t="s">
        <v>965</v>
      </c>
      <c r="J64" s="799" t="s">
        <v>1022</v>
      </c>
      <c r="K64" s="799" t="s">
        <v>966</v>
      </c>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181"/>
      <c r="AM64" s="302"/>
      <c r="CA64" s="3">
        <v>1</v>
      </c>
      <c r="CB64" s="3">
        <v>2</v>
      </c>
      <c r="CC64" s="3">
        <v>3</v>
      </c>
      <c r="CD64" s="3">
        <v>4</v>
      </c>
      <c r="CE64" s="3">
        <v>5</v>
      </c>
      <c r="CF64" s="3">
        <v>6</v>
      </c>
      <c r="DK64" s="3" t="s">
        <v>1223</v>
      </c>
      <c r="DL64" s="3" t="s">
        <v>1224</v>
      </c>
    </row>
    <row r="65" spans="2:117" ht="14.25" customHeight="1" x14ac:dyDescent="0.15">
      <c r="B65" s="1701"/>
      <c r="C65" s="1688"/>
      <c r="D65" s="438"/>
      <c r="E65" s="1687"/>
      <c r="F65" s="1668" t="str">
        <f>IF(E65=0,"",ROUND(SQRT(COS(AV65*1.5*PI()/180)),3))</f>
        <v/>
      </c>
      <c r="G65" s="674"/>
      <c r="H65" s="674"/>
      <c r="I65" s="802"/>
      <c r="J65" s="802"/>
      <c r="K65" s="801"/>
      <c r="L65" s="1657"/>
      <c r="M65" s="1654"/>
      <c r="N65" s="1200">
        <f>+IF(M65=0,0,"×")</f>
        <v>0</v>
      </c>
      <c r="O65" s="1295">
        <f>IF(M65=0,0,CN66)</f>
        <v>0</v>
      </c>
      <c r="P65" s="1296" t="str">
        <f>IF(X65=+"","",IF(AND(X65&lt;=1,Y65&lt;=1,AA65&lt;=1,AB65&lt;=1),"OK!","NO!"))</f>
        <v/>
      </c>
      <c r="Q65" s="1296">
        <f>IF(U65=0,0,IF(AND(Z65=0,AC65=0),0,IF(IF(Z65&gt;=AC65,Z65,AC65)&lt;=1,"OK!","NO!")))</f>
        <v>0</v>
      </c>
      <c r="R65" s="1659"/>
      <c r="S65" s="1269"/>
      <c r="T65" s="1271">
        <f>IF(S65=0,0,BU65)</f>
        <v>0</v>
      </c>
      <c r="U65" s="1253">
        <f>IF(AND(T69=0,S65=0),0,+IF(AND(VALUE(RIGHT(R65,4))=2,T69&gt;0),0,IF(AND(VALUE(RIGHT(R65,4))=1,S65&gt;0),0,DM65)))</f>
        <v>0</v>
      </c>
      <c r="V65" s="1257">
        <f>IF(S65=0,0,IF(BG69&gt;=BJ69,BG69,BJ69))</f>
        <v>0</v>
      </c>
      <c r="W65" s="1652"/>
      <c r="X65" s="1257" t="str">
        <f>IF(O65=0,"",ROUNDUP($BE69/$AW69,2))</f>
        <v/>
      </c>
      <c r="Y65" s="1257" t="str">
        <f>IF(O65=0,"",ROUND($BF69/$BD69,2))</f>
        <v/>
      </c>
      <c r="Z65" s="1257">
        <f>IF(L65=0,0,IF(AND(S65=0,Z69=0),0,IF(S65=0,ROUNDUP(BC67/(AY69*$O$181*$AR$10*Z69/100),2),+BV65)))</f>
        <v>0</v>
      </c>
      <c r="AA65" s="1257" t="str">
        <f>IF(O65=0,"",ROUNDUP($BH69/$AX69,2))</f>
        <v/>
      </c>
      <c r="AB65" s="1257" t="str">
        <f>IF(O65=0,"",ROUNDUP($BI69/$BD69,2))</f>
        <v/>
      </c>
      <c r="AC65" s="1257">
        <f>IF(L65=0,0,IF(AND(S65=0,X69=0),0,IF(S65=0,ROUNDUP(BE67/(AZ69*$O$181*$AR$10*Z69/100),2),+BW65)))</f>
        <v>0</v>
      </c>
      <c r="AD65" s="162"/>
      <c r="AE65" s="447"/>
      <c r="AF65" s="430"/>
      <c r="AG65" s="428"/>
      <c r="AH65" s="1253">
        <f>IF(AD65=0,0,ROUND(AD65*AE65+AF65*AG65+AD66*AE66+AF66*AG66,2))</f>
        <v>0</v>
      </c>
      <c r="AI65" s="1253">
        <f>IF(AD65=0,0,IF(AN65=1,AM65/($AR$10*Z69),+AM65))</f>
        <v>0</v>
      </c>
      <c r="AJ65" s="1255" t="str">
        <f>IF(AI65=0,"",IF(AI65&lt;=1,"OK!","NO!"))</f>
        <v/>
      </c>
      <c r="AK65" s="182">
        <f>+IF(J70=0,0,"1/")</f>
        <v>0</v>
      </c>
      <c r="AL65" s="183">
        <f>IF(J70=0,0,+BC69)</f>
        <v>0</v>
      </c>
      <c r="AM65" s="3" t="e">
        <f>+IF(BM69&gt;=BN69,BM69+DK66,BN69+DL66)</f>
        <v>#DIV/0!</v>
      </c>
      <c r="AN65" s="3">
        <f>IF(R69=0,0,+VALUE(RIGHT(R69,4)))</f>
        <v>0</v>
      </c>
      <c r="AQ65" s="479" t="s">
        <v>877</v>
      </c>
      <c r="AR65" s="632">
        <f>+準備!G57+AT65</f>
        <v>850</v>
      </c>
      <c r="AS65" s="632" t="e">
        <f>+準備!G57+AU65</f>
        <v>#VALUE!</v>
      </c>
      <c r="AT65" s="63">
        <f>ROUNDUP(IF(VALUE(RIGHT($G$52,3))=1,AU65*0.7,0),0)</f>
        <v>0</v>
      </c>
      <c r="AU65" s="63" t="e">
        <f>ROUNDUP(IF(VALUE(RIGHT($G$52,4))=1,$M$52*30*F65*100,$M$52*20*F65*100),0)</f>
        <v>#VALUE!</v>
      </c>
      <c r="AV65" s="69">
        <f>ROUND(ATAN(E65/10)*180/PI(),4)</f>
        <v>0</v>
      </c>
      <c r="AW65" s="3">
        <f>+N70</f>
        <v>0</v>
      </c>
      <c r="AX65" s="3" t="s">
        <v>1033</v>
      </c>
      <c r="AY65" s="3" t="e">
        <f>ROUND($AU66*$AU67/$AW65*$AR66,1)</f>
        <v>#DIV/0!</v>
      </c>
      <c r="AZ65" s="641">
        <f>+AU67</f>
        <v>0</v>
      </c>
      <c r="BA65" s="640">
        <f>+AW66</f>
        <v>0</v>
      </c>
      <c r="BB65" s="3" t="e">
        <f>ROUND($AY65*$BA65/$AZ65+$AY66,0)</f>
        <v>#DIV/0!</v>
      </c>
      <c r="BC65" s="3" t="s">
        <v>1035</v>
      </c>
      <c r="BD65" s="3" t="e">
        <f>ROUND($AU66*$AU67/$AW65*$AS66,1)</f>
        <v>#DIV/0!</v>
      </c>
      <c r="BE65" s="3" t="e">
        <f>ROUND($BD65*$BA65/$AZ65+$BD66,0)</f>
        <v>#DIV/0!</v>
      </c>
      <c r="BF65" s="3" t="s">
        <v>1039</v>
      </c>
      <c r="BG65" s="3" t="e">
        <f>ROUND($AU67/$AW65*$AR66,0)</f>
        <v>#DIV/0!</v>
      </c>
      <c r="BH65" s="3" t="e">
        <f>ROUND($AU66/$AW65*$AR66,0)</f>
        <v>#DIV/0!</v>
      </c>
      <c r="BI65" s="3" t="s">
        <v>1043</v>
      </c>
      <c r="BJ65" s="3" t="e">
        <f>ROUND($AU67/$AW65*$AS66,0)</f>
        <v>#DIV/0!</v>
      </c>
      <c r="BK65" s="3" t="e">
        <f>ROUND($AU66/$AW65*$AS66,0)</f>
        <v>#DIV/0!</v>
      </c>
      <c r="BL65" s="3" t="s">
        <v>1057</v>
      </c>
      <c r="BM65" s="3">
        <f>ROUND(POWER($AW65,2)-POWER($AU67,2),0)</f>
        <v>0</v>
      </c>
      <c r="BN65" s="3">
        <f>ROUND(POWER($AW65,2)-POWER($AW67,2),0)</f>
        <v>0</v>
      </c>
      <c r="BO65" s="3">
        <f>+SQRT(POWER(BM65,3))</f>
        <v>0</v>
      </c>
      <c r="BP65" s="3">
        <f>+SQRT(POWER(BN65,3))</f>
        <v>0</v>
      </c>
      <c r="BQ65" s="63" t="e">
        <f>ROUNDUP($AR66*$AU67*$BO65/(9*SQRT(3)*$AT68*$AW65),2)</f>
        <v>#VALUE!</v>
      </c>
      <c r="BR65" s="63" t="e">
        <f>ROUNDUP($AR67*$AW67*$BP65/(9*SQRT(3)*$AT68*$AW65),2)</f>
        <v>#VALUE!</v>
      </c>
      <c r="BS65" s="63" t="e">
        <f>ROUNDUP($AS66*$AU67*$BO65/(9*SQRT(3)*$AT68*$AW65),2)</f>
        <v>#VALUE!</v>
      </c>
      <c r="BT65" s="63" t="e">
        <f>ROUNDUP($AS67*$AW67*$BP65/(9*SQRT(3)*$AT68*$AW65),2)</f>
        <v>#VALUE!</v>
      </c>
      <c r="BU65" s="9">
        <f>IF(O65=0,0,ROUNDUP(SQRT((V65*M65/10*O65/10)/(S65*S65)),2))</f>
        <v>0</v>
      </c>
      <c r="BV65" s="3" t="e">
        <f>ROUND((+BC67+CB68+DA69)/(AY69*U65),2)</f>
        <v>#DIV/0!</v>
      </c>
      <c r="BW65" s="3" t="e">
        <f>ROUND((+BE67+CB68+DB69)/(AZ69*U65),2)</f>
        <v>#DIV/0!</v>
      </c>
      <c r="BX65" s="393"/>
      <c r="BY65" s="805" t="s">
        <v>269</v>
      </c>
      <c r="BZ65" s="805" t="s">
        <v>269</v>
      </c>
      <c r="CA65" s="632">
        <f>+準備!$G$20/100</f>
        <v>4.5</v>
      </c>
      <c r="CB65" s="632">
        <f>+準備!$G$24/100</f>
        <v>11</v>
      </c>
      <c r="CC65" s="632">
        <f>+準備!$G$28/100</f>
        <v>14</v>
      </c>
      <c r="CD65" s="632">
        <f>+準備!$G$32/100</f>
        <v>17.5</v>
      </c>
      <c r="CE65" s="632">
        <f>+準備!$G$36/100</f>
        <v>17.5</v>
      </c>
      <c r="CF65" s="632">
        <f>+準備!$G$38/100</f>
        <v>4</v>
      </c>
      <c r="CN65" s="3" t="s">
        <v>998</v>
      </c>
      <c r="CO65" s="3" t="s">
        <v>995</v>
      </c>
      <c r="CP65" s="3" t="s">
        <v>189</v>
      </c>
      <c r="CQ65" s="3" t="s">
        <v>996</v>
      </c>
      <c r="CR65" s="3" t="s">
        <v>189</v>
      </c>
      <c r="CS65" s="3" t="s">
        <v>1059</v>
      </c>
      <c r="CT65" s="3" t="s">
        <v>189</v>
      </c>
      <c r="CU65" s="3" t="s">
        <v>996</v>
      </c>
      <c r="CV65" s="2" t="s">
        <v>189</v>
      </c>
      <c r="CW65" s="548" t="s">
        <v>995</v>
      </c>
      <c r="CX65" s="548" t="s">
        <v>189</v>
      </c>
      <c r="CY65" s="548" t="s">
        <v>996</v>
      </c>
      <c r="CZ65" s="548" t="s">
        <v>189</v>
      </c>
      <c r="DA65" s="805" t="s">
        <v>269</v>
      </c>
      <c r="DB65" s="805" t="s">
        <v>269</v>
      </c>
      <c r="DC65" s="3" t="s">
        <v>189</v>
      </c>
      <c r="DE65" s="3" t="e">
        <f>ROUND(($CB67+DA68)/$CE68,1)</f>
        <v>#N/A</v>
      </c>
      <c r="DF65" s="3" t="e">
        <f>ROUND(($CC68+DC67)/$CE69,2)</f>
        <v>#N/A</v>
      </c>
      <c r="DG65" s="3" t="e">
        <f>ROUND(($CB68+$DA69)/$U65,1)</f>
        <v>#N/A</v>
      </c>
      <c r="DH65" s="3" t="e">
        <f>ROUND(($CB67+DB68)/$CE68,1)</f>
        <v>#N/A</v>
      </c>
      <c r="DI65" s="3" t="e">
        <f>ROUND(($CC68+DD67)/$CE69,2)</f>
        <v>#N/A</v>
      </c>
      <c r="DJ65" s="3" t="e">
        <f>ROUND(($CB68+DB69)/$U65,1)</f>
        <v>#N/A</v>
      </c>
      <c r="DK65" s="3" t="e">
        <f>ROUND(VLOOKUP(VALUE(RIGHT($L65,4)),許容応力!$B$6:$K$22,9)*1.1/3*100,0)</f>
        <v>#VALUE!</v>
      </c>
      <c r="DL65" s="3" t="e">
        <f>ROUND(VLOOKUP(VALUE(RIGHT($L65,4)),許容応力!$B$6:$K$22,9)*2/3*0.8*100,0)</f>
        <v>#VALUE!</v>
      </c>
      <c r="DM65" s="1253">
        <f>IF(AND(S65=0,W69=0),0,IF(T65=0,O$181*AR10*Z69/100,ROUND(POWER(S65*T65,2)/(M65/10*O65/10),2)))</f>
        <v>0</v>
      </c>
    </row>
    <row r="66" spans="2:117" x14ac:dyDescent="0.15">
      <c r="B66" s="1701"/>
      <c r="C66" s="1676"/>
      <c r="D66" s="439"/>
      <c r="E66" s="1677"/>
      <c r="F66" s="1555"/>
      <c r="G66" s="440" t="s">
        <v>1064</v>
      </c>
      <c r="H66" s="440" t="s">
        <v>1062</v>
      </c>
      <c r="I66" s="801"/>
      <c r="J66" s="801"/>
      <c r="K66" s="801"/>
      <c r="L66" s="1658"/>
      <c r="M66" s="1653"/>
      <c r="N66" s="1258"/>
      <c r="O66" s="1258"/>
      <c r="P66" s="1258"/>
      <c r="Q66" s="1392"/>
      <c r="R66" s="1660"/>
      <c r="S66" s="1507"/>
      <c r="T66" s="1254"/>
      <c r="U66" s="1272"/>
      <c r="V66" s="1254"/>
      <c r="W66" s="1653"/>
      <c r="X66" s="1258"/>
      <c r="Y66" s="1258"/>
      <c r="Z66" s="1254"/>
      <c r="AA66" s="1258"/>
      <c r="AB66" s="1258"/>
      <c r="AC66" s="1254"/>
      <c r="AD66" s="160"/>
      <c r="AE66" s="432"/>
      <c r="AF66" s="433"/>
      <c r="AG66" s="434"/>
      <c r="AH66" s="1254"/>
      <c r="AI66" s="1254"/>
      <c r="AJ66" s="1673"/>
      <c r="AK66" s="184">
        <f>+IF(G70=0,0,"1/")</f>
        <v>0</v>
      </c>
      <c r="AL66" s="185">
        <f>IF(J70=0,0,+BC70)</f>
        <v>0</v>
      </c>
      <c r="AM66" s="597"/>
      <c r="AN66" s="407"/>
      <c r="AQ66" s="638" t="s">
        <v>1023</v>
      </c>
      <c r="AR66" s="3">
        <f>ROUND(AR65*(G65+H65)/2*(I65+J65)/2,0)</f>
        <v>0</v>
      </c>
      <c r="AS66" s="3" t="e">
        <f>ROUND(AS65*(G65+H65)/2*(I65+J65)/2,0)</f>
        <v>#VALUE!</v>
      </c>
      <c r="AT66" s="3" t="s">
        <v>1029</v>
      </c>
      <c r="AU66" s="640">
        <f>+J70*100</f>
        <v>0</v>
      </c>
      <c r="AV66" s="3" t="s">
        <v>1031</v>
      </c>
      <c r="AW66" s="640">
        <f>+L70*100</f>
        <v>0</v>
      </c>
      <c r="AX66" s="3" t="s">
        <v>1034</v>
      </c>
      <c r="AY66" s="3" t="e">
        <f>ROUND($AW66*$AW67/$AW65*$AR67,1)</f>
        <v>#DIV/0!</v>
      </c>
      <c r="AZ66" s="641">
        <f>+AW67</f>
        <v>0</v>
      </c>
      <c r="BA66" s="640">
        <f>+AU66</f>
        <v>0</v>
      </c>
      <c r="BB66" s="3" t="e">
        <f>ROUND($AY66*$BA66/$AZ66+$AY65,0)</f>
        <v>#DIV/0!</v>
      </c>
      <c r="BC66" s="3" t="s">
        <v>1036</v>
      </c>
      <c r="BD66" s="3" t="e">
        <f>ROUND($AW66*$AW67/$AW65*$AS67,1)</f>
        <v>#DIV/0!</v>
      </c>
      <c r="BE66" s="3" t="e">
        <f>ROUND($BD66*$BA66/$AZ66+$BD65,0)</f>
        <v>#DIV/0!</v>
      </c>
      <c r="BF66" s="3" t="s">
        <v>1040</v>
      </c>
      <c r="BG66" s="3" t="e">
        <f>ROUND($AW66/$AW65*$AR67,0)</f>
        <v>#DIV/0!</v>
      </c>
      <c r="BH66" s="3" t="e">
        <f>ROUND($AW67/$AW65*$AR67,0)</f>
        <v>#DIV/0!</v>
      </c>
      <c r="BI66" s="3" t="s">
        <v>1044</v>
      </c>
      <c r="BJ66" s="3" t="e">
        <f>ROUND($AW66/$AW65*$AS67,0)</f>
        <v>#DIV/0!</v>
      </c>
      <c r="BK66" s="3" t="e">
        <f>ROUND($AW67/$AW65*$AS67,0)</f>
        <v>#DIV/0!</v>
      </c>
      <c r="BM66" s="3">
        <f>ROUND(POWER($AW65,2)-POWER($AW66,2),0)</f>
        <v>0</v>
      </c>
      <c r="BN66" s="3">
        <f>ROUND(POWER($AW65,2)-POWER($AW67,2),0)</f>
        <v>0</v>
      </c>
      <c r="BO66" s="3">
        <f>+SQRT(POWER(BM66,3))</f>
        <v>0</v>
      </c>
      <c r="BP66" s="3">
        <f>+SQRT(POWER(BN66,3))</f>
        <v>0</v>
      </c>
      <c r="BQ66" s="63" t="e">
        <f>ROUNDUP($BR65*$AU66/$AW67,2)</f>
        <v>#VALUE!</v>
      </c>
      <c r="BR66" s="63" t="e">
        <f>ROUNDUP($BQ65*$AW66/$AU67,2)</f>
        <v>#VALUE!</v>
      </c>
      <c r="BS66" s="63" t="e">
        <f>ROUNDUP($BT65*$AU66/$AW67,2)</f>
        <v>#VALUE!</v>
      </c>
      <c r="BT66" s="63" t="e">
        <f>ROUNDUP($BS65*$AW66/$AU67,2)</f>
        <v>#VALUE!</v>
      </c>
      <c r="BU66" s="9">
        <f>IF(O66=0,0,ROUNDUP(SQRT(IF(R66=0,(V66*(O66/10-6)*(O66/10-3)),(V66*(R66/10-6)*(R66/10-3)))/(S66*S66)),2))</f>
        <v>0</v>
      </c>
      <c r="BV66" s="3" t="e">
        <f>ROUND((+BC67+CB68+DA69)/(AY70*S66*T66),2)</f>
        <v>#DIV/0!</v>
      </c>
      <c r="BW66" s="3" t="e">
        <f>ROUND((+BE67+CB68+DB69)/(AZ70*S66*T66),2)</f>
        <v>#DIV/0!</v>
      </c>
      <c r="BX66" s="78"/>
      <c r="BY66" s="87" t="e">
        <f>IF(OR(BV67=0,BV67=1),0,ROUNDUP((準備!$G$60/100+準備!$D$48/100)*((F70+G70)/2*100)/200,2))</f>
        <v>#N/A</v>
      </c>
      <c r="BZ66" s="87" t="e">
        <f>+BY66</f>
        <v>#N/A</v>
      </c>
      <c r="CA66" s="3">
        <f t="shared" ref="CA66:CF66" si="15">ROUND(CA65*$I71,2)</f>
        <v>0</v>
      </c>
      <c r="CB66" s="3">
        <f t="shared" si="15"/>
        <v>0</v>
      </c>
      <c r="CC66" s="3">
        <f t="shared" si="15"/>
        <v>0</v>
      </c>
      <c r="CD66" s="3">
        <f t="shared" si="15"/>
        <v>0</v>
      </c>
      <c r="CE66" s="3">
        <f t="shared" si="15"/>
        <v>0</v>
      </c>
      <c r="CF66" s="3">
        <f t="shared" si="15"/>
        <v>0</v>
      </c>
      <c r="CJ66" s="63" t="e">
        <f>+ROUNDUP(CO66/3,-1)*3</f>
        <v>#DIV/0!</v>
      </c>
      <c r="CK66" s="63" t="e">
        <f>+ROUNDUP(CP66/3,-1)*3</f>
        <v>#VALUE!</v>
      </c>
      <c r="CL66" s="63" t="e">
        <f>+ROUNDUP(CQ66/3,-1)*3</f>
        <v>#DIV/0!</v>
      </c>
      <c r="CM66" s="63" t="e">
        <f>+ROUNDUP(CR66/3,-1)*3</f>
        <v>#VALUE!</v>
      </c>
      <c r="CN66" s="649" t="e">
        <f>MAX(CJ66:CM66)</f>
        <v>#DIV/0!</v>
      </c>
      <c r="CO66" s="63" t="e">
        <f>ROUNDUP(SQRT(ROUND($CS66/$AW69*6/($M65/10)/IF($W65=0,1,$W65),1))*10,0)</f>
        <v>#DIV/0!</v>
      </c>
      <c r="CP66" s="3" t="e">
        <f>POWER(ROUNDDOWN($CT66/($M65/10)*12,0)/IF($W65=0,1,$W65)/$BD69,1/3)*10</f>
        <v>#VALUE!</v>
      </c>
      <c r="CQ66" s="63" t="e">
        <f>ROUNDUP(SQRT(ROUND($CU66/$AX69*6/($M65/10)/IF($W65=0,1,$W65),1))*10,0)</f>
        <v>#DIV/0!</v>
      </c>
      <c r="CR66" s="3" t="e">
        <f>POWER(ROUNDDOWN($CV66/($M65/10)*12,0)/IF($W65=0,1,$W65)/$BD69,1/3)*10</f>
        <v>#VALUE!</v>
      </c>
      <c r="CS66" s="63" t="e">
        <f>+AY67+CB67+DA68</f>
        <v>#DIV/0!</v>
      </c>
      <c r="CT66" s="63" t="e">
        <f>+IF(BQ67&gt;=BR67,BQ67+CC68+DC67,BR67+CC68+DC67)</f>
        <v>#VALUE!</v>
      </c>
      <c r="CU66" s="63" t="e">
        <f>+BA67+CB67+DB68</f>
        <v>#DIV/0!</v>
      </c>
      <c r="CV66" s="78" t="e">
        <f>+IF(BS67&gt;=BT67,BS67+CC68+DD67,BT67+CC68+DD67)</f>
        <v>#VALUE!</v>
      </c>
      <c r="CW66" s="548" t="e">
        <f>+CO66</f>
        <v>#DIV/0!</v>
      </c>
      <c r="CX66" s="548" t="e">
        <f>+CP66</f>
        <v>#VALUE!</v>
      </c>
      <c r="CY66" s="548" t="e">
        <f>CQ66</f>
        <v>#DIV/0!</v>
      </c>
      <c r="CZ66" s="548" t="e">
        <f>+CR66</f>
        <v>#VALUE!</v>
      </c>
      <c r="DA66" s="87">
        <f>IF(OR($BV67=0,$BV67=1),0,ROUND((準備!$G$6+$AT65)*$G70/200,2))</f>
        <v>0</v>
      </c>
      <c r="DB66" s="87" t="e">
        <f>IF(OR($BV67=0,$BV67=1),0,ROUND((準備!$G$6+$AU65)*$G70/200,2))</f>
        <v>#VALUE!</v>
      </c>
      <c r="DC66" s="3" t="s">
        <v>168</v>
      </c>
      <c r="DD66" s="3" t="s">
        <v>203</v>
      </c>
      <c r="DE66" s="3" t="e">
        <f t="shared" ref="DE66:DJ66" si="16">+DE65</f>
        <v>#N/A</v>
      </c>
      <c r="DF66" s="3" t="e">
        <f t="shared" si="16"/>
        <v>#N/A</v>
      </c>
      <c r="DG66" s="3" t="e">
        <f t="shared" si="16"/>
        <v>#N/A</v>
      </c>
      <c r="DH66" s="3" t="e">
        <f t="shared" si="16"/>
        <v>#N/A</v>
      </c>
      <c r="DI66" s="3" t="e">
        <f t="shared" si="16"/>
        <v>#N/A</v>
      </c>
      <c r="DJ66" s="3" t="e">
        <f t="shared" si="16"/>
        <v>#N/A</v>
      </c>
      <c r="DK66" s="3" t="e">
        <f>ROUND(DA66*M70*100/2/DK65/AH65,2)</f>
        <v>#VALUE!</v>
      </c>
      <c r="DL66" s="3" t="e">
        <f>ROUND(DB66*M70*100/2/DL65/AH65,2)</f>
        <v>#VALUE!</v>
      </c>
      <c r="DM66" s="1254"/>
    </row>
    <row r="67" spans="2:117" x14ac:dyDescent="0.15">
      <c r="B67" s="1701"/>
      <c r="C67" s="1270"/>
      <c r="D67" s="194"/>
      <c r="E67" s="1270"/>
      <c r="F67" s="1254"/>
      <c r="G67" s="475"/>
      <c r="H67" s="475"/>
      <c r="I67" s="801"/>
      <c r="J67" s="801">
        <f>+J65</f>
        <v>0</v>
      </c>
      <c r="K67" s="802"/>
      <c r="L67" s="302"/>
      <c r="M67" s="451"/>
      <c r="N67" s="451"/>
      <c r="O67" s="451"/>
      <c r="P67" s="451"/>
      <c r="Q67" s="451"/>
      <c r="R67" s="451"/>
      <c r="S67" s="878"/>
      <c r="T67" s="1307" t="s">
        <v>1154</v>
      </c>
      <c r="U67" s="1308"/>
      <c r="V67" s="1308"/>
      <c r="W67" s="1308"/>
      <c r="X67" s="1308"/>
      <c r="Y67" s="1308"/>
      <c r="Z67" s="1621"/>
      <c r="AA67" s="451"/>
      <c r="AB67" s="451"/>
      <c r="AC67" s="451"/>
      <c r="AD67" s="451"/>
      <c r="AE67" s="451"/>
      <c r="AF67" s="176"/>
      <c r="AG67" s="176"/>
      <c r="AH67" s="176"/>
      <c r="AI67" s="176"/>
      <c r="AJ67" s="176"/>
      <c r="AK67" s="176"/>
      <c r="AL67" s="469"/>
      <c r="AM67" s="302"/>
      <c r="AQ67" s="638" t="s">
        <v>1024</v>
      </c>
      <c r="AR67" s="3">
        <f>ROUND(AR65*(G67+H67)/2*(K67+J67)/2,0)</f>
        <v>0</v>
      </c>
      <c r="AS67" s="3" t="e">
        <f>ROUND(AS65*(G67+H67)/2*(K67+J67)/2,0)</f>
        <v>#VALUE!</v>
      </c>
      <c r="AT67" s="3" t="s">
        <v>1030</v>
      </c>
      <c r="AU67" s="641">
        <f>(+K70+L70)*100</f>
        <v>0</v>
      </c>
      <c r="AV67" s="3" t="s">
        <v>1032</v>
      </c>
      <c r="AW67" s="641">
        <f>(+J70+K70)*100</f>
        <v>0</v>
      </c>
      <c r="AX67" s="3" t="s">
        <v>1037</v>
      </c>
      <c r="AY67" s="548" t="e">
        <f>+IF(BB65&gt;=BB66,BB65,BB66)</f>
        <v>#DIV/0!</v>
      </c>
      <c r="AZ67" s="3" t="s">
        <v>1038</v>
      </c>
      <c r="BA67" s="548" t="e">
        <f>+IF(BE65&gt;=BE66,BE65,BE66)</f>
        <v>#DIV/0!</v>
      </c>
      <c r="BB67" s="3" t="s">
        <v>1041</v>
      </c>
      <c r="BC67" s="548" t="e">
        <f>+IF(BG67&gt;=BH67,BG67,BH67)</f>
        <v>#DIV/0!</v>
      </c>
      <c r="BD67" s="3" t="s">
        <v>1042</v>
      </c>
      <c r="BE67" s="548" t="e">
        <f>+IF(BJ67&gt;=BK67,BJ67,BK67)</f>
        <v>#DIV/0!</v>
      </c>
      <c r="BG67" s="3" t="e">
        <f>SUM(BG65:BG66)</f>
        <v>#DIV/0!</v>
      </c>
      <c r="BH67" s="3" t="e">
        <f>SUM(BH65:BH66)</f>
        <v>#DIV/0!</v>
      </c>
      <c r="BJ67" s="3" t="e">
        <f>SUM(BJ65:BJ66)</f>
        <v>#DIV/0!</v>
      </c>
      <c r="BK67" s="3" t="e">
        <f>SUM(BK65:BK66)</f>
        <v>#DIV/0!</v>
      </c>
      <c r="BM67" s="3">
        <f t="shared" ref="BM67:BT67" si="17">SUM(BM65:BM66)</f>
        <v>0</v>
      </c>
      <c r="BN67" s="3">
        <f t="shared" si="17"/>
        <v>0</v>
      </c>
      <c r="BO67" s="3">
        <f t="shared" si="17"/>
        <v>0</v>
      </c>
      <c r="BP67" s="3">
        <f t="shared" si="17"/>
        <v>0</v>
      </c>
      <c r="BQ67" s="3" t="e">
        <f t="shared" si="17"/>
        <v>#VALUE!</v>
      </c>
      <c r="BR67" s="3" t="e">
        <f t="shared" si="17"/>
        <v>#VALUE!</v>
      </c>
      <c r="BS67" s="3" t="e">
        <f t="shared" si="17"/>
        <v>#VALUE!</v>
      </c>
      <c r="BT67" s="3" t="e">
        <f t="shared" si="17"/>
        <v>#VALUE!</v>
      </c>
      <c r="BU67" s="3" t="s">
        <v>1012</v>
      </c>
      <c r="BV67" s="3">
        <f>IF(D68=0,0,+VALUE(RIGHT(D68,4)))</f>
        <v>2</v>
      </c>
      <c r="BW67" s="3" t="s">
        <v>1003</v>
      </c>
      <c r="BX67" s="3" t="e">
        <f>+VALUE(RIGHT(G71,4))</f>
        <v>#VALUE!</v>
      </c>
      <c r="BY67" s="3">
        <f>IF(OR(BV68=0,BV68=2),0,HLOOKUP(BX67,CA64:CF66,3))</f>
        <v>0</v>
      </c>
      <c r="BZ67" s="3">
        <f>+BY67</f>
        <v>0</v>
      </c>
      <c r="CA67" s="3" t="s">
        <v>1019</v>
      </c>
      <c r="CB67" s="3" t="e">
        <f>BY68*POWER(AW65,2)/8</f>
        <v>#N/A</v>
      </c>
      <c r="CC67" s="3" t="s">
        <v>189</v>
      </c>
      <c r="CD67" s="3" t="s">
        <v>782</v>
      </c>
      <c r="CE67" s="3" t="e">
        <f>ROUNDUP(+SQRT((CB67+DA68)*6/(AW69*M65/10)),0)</f>
        <v>#N/A</v>
      </c>
      <c r="CJ67" s="63" t="e">
        <f>IF(W66=0.8,VLOOKUP(CW67,$AR$398:$AS$443,2),IF(W66=0.9,VLOOKUP(CW67,$AR$351:$AS$396,2),VLOOKUP(CW67,$AR$304:$AS$349,2)))</f>
        <v>#DIV/0!</v>
      </c>
      <c r="CK67" s="63" t="e">
        <f>IF(W66=0.8,VLOOKUP(CX67,$AT$398:$AU$443,2),IF(W66=0.9,VLOOKUP(CX67,$AT$351:$AU$396,2),VLOOKUP(CX67,$AT$304:$AU$349,2)))</f>
        <v>#VALUE!</v>
      </c>
      <c r="CL67" s="63" t="e">
        <f>IF(W66=0.8,VLOOKUP(CY67,$AR$398:$AS$443,2),IF(W66=0.9,VLOOKUP(CY67,$AR$351:$AS$396,2),VLOOKUP(CY67,$AR$304:$AS$349,2)))</f>
        <v>#DIV/0!</v>
      </c>
      <c r="CM67" s="63" t="e">
        <f>IF(W66=0.8,VLOOKUP(CZ67,$AT$398:$AU$443,2),IF(W66=0.9,VLOOKUP(CZ67,$AT$351:$AU$397,2),VLOOKUP(CZ67,$AT$304:$AU$349,2)))</f>
        <v>#VALUE!</v>
      </c>
      <c r="CN67" s="649" t="e">
        <f>MAX(CJ67:CM67)</f>
        <v>#DIV/0!</v>
      </c>
      <c r="CO67" s="63" t="e">
        <f>ROUNDUP(CS67/$AW69/IF(W66=0,1,W66),1)</f>
        <v>#DIV/0!</v>
      </c>
      <c r="CP67" s="63" t="e">
        <f>ROUNDUP($CT67/($BD69*AT69),2)</f>
        <v>#VALUE!</v>
      </c>
      <c r="CQ67" s="63" t="e">
        <f>ROUNDUP(CU67/$AX69/IF(W66=0,1,W66),1)</f>
        <v>#DIV/0!</v>
      </c>
      <c r="CR67" s="63" t="e">
        <f>ROUNDUP($CV67/($BD69*AT69),2)</f>
        <v>#VALUE!</v>
      </c>
      <c r="CS67" s="63" t="e">
        <f>+CS66</f>
        <v>#DIV/0!</v>
      </c>
      <c r="CT67" s="3" t="e">
        <f>+CT66</f>
        <v>#VALUE!</v>
      </c>
      <c r="CU67" s="3" t="e">
        <f>+CU66</f>
        <v>#DIV/0!</v>
      </c>
      <c r="CV67" s="2" t="e">
        <f>+CV66</f>
        <v>#VALUE!</v>
      </c>
      <c r="CW67" s="548" t="e">
        <f>+CO67</f>
        <v>#DIV/0!</v>
      </c>
      <c r="CX67" s="548" t="e">
        <f>+CP67</f>
        <v>#VALUE!</v>
      </c>
      <c r="CY67" s="548" t="e">
        <f>CQ67</f>
        <v>#DIV/0!</v>
      </c>
      <c r="CZ67" s="548" t="e">
        <f>+CR67</f>
        <v>#VALUE!</v>
      </c>
      <c r="DC67" s="3" t="e">
        <f>5*DA66*POWER(N70,4)/(384*AT68)</f>
        <v>#VALUE!</v>
      </c>
      <c r="DD67" s="3" t="e">
        <f>5*DB66*POWER(N70,4)/(384*AT68)</f>
        <v>#VALUE!</v>
      </c>
      <c r="DE67" s="412" t="s">
        <v>1065</v>
      </c>
      <c r="DF67" s="349" t="s">
        <v>1066</v>
      </c>
      <c r="DG67" s="412" t="s">
        <v>1067</v>
      </c>
      <c r="DH67" s="412" t="s">
        <v>1065</v>
      </c>
      <c r="DI67" s="349" t="s">
        <v>1066</v>
      </c>
      <c r="DJ67" s="412" t="s">
        <v>1067</v>
      </c>
    </row>
    <row r="68" spans="2:117" ht="14.25" customHeight="1" x14ac:dyDescent="0.15">
      <c r="B68" s="1701"/>
      <c r="C68" s="1679" t="s">
        <v>980</v>
      </c>
      <c r="D68" s="1403" t="s">
        <v>961</v>
      </c>
      <c r="E68" s="1404"/>
      <c r="F68" s="1407" t="s">
        <v>964</v>
      </c>
      <c r="G68" s="1408"/>
      <c r="H68" s="1669" t="s">
        <v>1025</v>
      </c>
      <c r="I68" s="1679" t="s">
        <v>970</v>
      </c>
      <c r="J68" s="1277" t="s">
        <v>1060</v>
      </c>
      <c r="K68" s="1671"/>
      <c r="L68" s="1671"/>
      <c r="M68" s="1278"/>
      <c r="N68" s="194"/>
      <c r="O68" s="194"/>
      <c r="P68" s="194"/>
      <c r="Q68" s="194"/>
      <c r="R68" s="1342"/>
      <c r="S68" s="1406"/>
      <c r="T68" s="877" t="s">
        <v>1265</v>
      </c>
      <c r="U68" s="877" t="s">
        <v>1266</v>
      </c>
      <c r="V68" s="877" t="s">
        <v>1267</v>
      </c>
      <c r="W68" s="877" t="s">
        <v>1260</v>
      </c>
      <c r="X68" s="877" t="s">
        <v>1268</v>
      </c>
      <c r="Y68" s="440" t="s">
        <v>1151</v>
      </c>
      <c r="Z68" s="440" t="s">
        <v>1153</v>
      </c>
      <c r="AA68" s="194"/>
      <c r="AB68" s="194"/>
      <c r="AC68" s="194"/>
      <c r="AD68" s="194"/>
      <c r="AE68" s="194"/>
      <c r="AF68" s="194"/>
      <c r="AG68" s="194"/>
      <c r="AH68" s="194"/>
      <c r="AI68" s="194"/>
      <c r="AJ68" s="194"/>
      <c r="AK68" s="194"/>
      <c r="AL68" s="181"/>
      <c r="AM68" s="302"/>
      <c r="AQ68" s="3" t="s">
        <v>15</v>
      </c>
      <c r="AR68" s="3" t="e">
        <f>+VALUE(RIGHT(L65,4))</f>
        <v>#VALUE!</v>
      </c>
      <c r="AS68" s="615" t="s">
        <v>880</v>
      </c>
      <c r="AT68" s="642" t="e">
        <f>+VLOOKUP(VALUE(RIGHT(L65,4)),許容応力!$B$6:$K$22,10)*100</f>
        <v>#VALUE!</v>
      </c>
      <c r="AU68" s="615" t="s">
        <v>881</v>
      </c>
      <c r="AV68" s="520">
        <f>+BN67</f>
        <v>0</v>
      </c>
      <c r="AW68" s="3" t="s">
        <v>997</v>
      </c>
      <c r="AX68" s="3" t="s">
        <v>294</v>
      </c>
      <c r="AY68" s="52" t="s">
        <v>498</v>
      </c>
      <c r="AZ68" s="52" t="s">
        <v>499</v>
      </c>
      <c r="BA68" s="52" t="s">
        <v>500</v>
      </c>
      <c r="BB68" s="52" t="s">
        <v>501</v>
      </c>
      <c r="BC68" s="805" t="s">
        <v>295</v>
      </c>
      <c r="BD68" s="805" t="s">
        <v>296</v>
      </c>
      <c r="BE68" s="52" t="s">
        <v>287</v>
      </c>
      <c r="BF68" s="805" t="s">
        <v>288</v>
      </c>
      <c r="BG68" s="52" t="s">
        <v>490</v>
      </c>
      <c r="BH68" s="52" t="s">
        <v>289</v>
      </c>
      <c r="BI68" s="805" t="s">
        <v>290</v>
      </c>
      <c r="BJ68" s="52" t="s">
        <v>493</v>
      </c>
      <c r="BK68" s="805" t="s">
        <v>291</v>
      </c>
      <c r="BL68" s="805" t="s">
        <v>292</v>
      </c>
      <c r="BM68" s="412" t="s">
        <v>1020</v>
      </c>
      <c r="BN68" s="412" t="s">
        <v>1021</v>
      </c>
      <c r="BU68" s="3" t="s">
        <v>1002</v>
      </c>
      <c r="BV68" s="3">
        <f>IF(E71=0,0,+VALUE(RIGHT(E71,4)))</f>
        <v>0</v>
      </c>
      <c r="BX68" s="3" t="s">
        <v>1011</v>
      </c>
      <c r="BY68" s="3" t="e">
        <f>+BY66+BY67</f>
        <v>#N/A</v>
      </c>
      <c r="BZ68" s="3" t="e">
        <f>+BZ66+BZ67</f>
        <v>#N/A</v>
      </c>
      <c r="CA68" s="3" t="s">
        <v>1018</v>
      </c>
      <c r="CB68" s="3" t="e">
        <f>+BY68*AW65/2</f>
        <v>#N/A</v>
      </c>
      <c r="CC68" s="3" t="e">
        <f>5*BY68*POWER(AW65,4)/(384*AT68)</f>
        <v>#N/A</v>
      </c>
      <c r="CD68" s="805" t="s">
        <v>291</v>
      </c>
      <c r="CE68" s="3" t="e">
        <f>ROUND(M65/10*POWER(CE67,2)/6,0)</f>
        <v>#N/A</v>
      </c>
      <c r="CZ68" s="3" t="s">
        <v>1019</v>
      </c>
      <c r="DA68" s="3">
        <f>+DA66*POWER(M70*100,2)/8</f>
        <v>0</v>
      </c>
      <c r="DB68" s="3" t="e">
        <f>+DB66*POWER(M70*100,2)/8</f>
        <v>#VALUE!</v>
      </c>
      <c r="DE68" s="3" t="e">
        <f>ROUND(DE65/AW69,2)</f>
        <v>#N/A</v>
      </c>
      <c r="DF68" s="3" t="e">
        <f>ROUND(DF65/BD69,2)</f>
        <v>#N/A</v>
      </c>
      <c r="DG68" s="3" t="e">
        <f>ROUND(DG65/AY69,2)</f>
        <v>#N/A</v>
      </c>
      <c r="DH68" s="3" t="e">
        <f>ROUND(DH65/AX69,2)</f>
        <v>#N/A</v>
      </c>
      <c r="DI68" s="3" t="e">
        <f>ROUND(DF65/BD69,2)</f>
        <v>#N/A</v>
      </c>
      <c r="DJ68" s="3" t="e">
        <f>ROUND(DG65/AZ69,2)</f>
        <v>#N/A</v>
      </c>
    </row>
    <row r="69" spans="2:117" x14ac:dyDescent="0.15">
      <c r="B69" s="1701"/>
      <c r="C69" s="1409"/>
      <c r="D69" s="1405"/>
      <c r="E69" s="1406"/>
      <c r="F69" s="411" t="s">
        <v>971</v>
      </c>
      <c r="G69" s="587" t="s">
        <v>1071</v>
      </c>
      <c r="H69" s="1254"/>
      <c r="I69" s="1409"/>
      <c r="J69" s="586" t="s">
        <v>965</v>
      </c>
      <c r="K69" s="586" t="s">
        <v>1022</v>
      </c>
      <c r="L69" s="586" t="s">
        <v>966</v>
      </c>
      <c r="M69" s="470" t="s">
        <v>1026</v>
      </c>
      <c r="N69" s="592" t="s">
        <v>1071</v>
      </c>
      <c r="O69" s="456" t="s">
        <v>1072</v>
      </c>
      <c r="P69" s="457"/>
      <c r="Q69" s="876"/>
      <c r="R69" s="1382"/>
      <c r="S69" s="1406"/>
      <c r="T69" s="1029"/>
      <c r="U69" s="1029"/>
      <c r="V69" s="882">
        <f>+IF(U69=0,0,6)</f>
        <v>0</v>
      </c>
      <c r="W69" s="1029"/>
      <c r="X69" s="1029"/>
      <c r="Y69" s="1018">
        <f>IF(X69=0,0,+$O$170)</f>
        <v>0</v>
      </c>
      <c r="Z69" s="574">
        <f>IF(X69=0,0,+VLOOKUP(Y69,$I$189:$J$194,2))</f>
        <v>0</v>
      </c>
      <c r="AA69" s="194"/>
      <c r="AB69" s="194"/>
      <c r="AC69" s="194"/>
      <c r="AD69" s="194"/>
      <c r="AE69" s="194"/>
      <c r="AF69" s="194"/>
      <c r="AG69" s="194"/>
      <c r="AH69" s="194"/>
      <c r="AI69" s="194"/>
      <c r="AJ69" s="194"/>
      <c r="AK69" s="194"/>
      <c r="AL69" s="181"/>
      <c r="AM69" s="302"/>
      <c r="AQ69" s="638" t="s">
        <v>1055</v>
      </c>
      <c r="AR69" s="409">
        <f>+VALUE(RIGHT($G$52,3))</f>
        <v>2</v>
      </c>
      <c r="AS69" s="520" t="s">
        <v>241</v>
      </c>
      <c r="AT69" s="3">
        <f>+IF(OR(W66=0,W66=1),1,W66)</f>
        <v>1</v>
      </c>
      <c r="AW69" s="10" t="e">
        <f>IF(AR69=2,ROUND(VLOOKUP(AR68,許容応力!$B$6:$K$22,7)*1.1/3*100,0),ROUND(VLOOKUP(AR68,許容応力!$B$6:$K$22,7)*1.1/3*1.3*100,0))</f>
        <v>#VALUE!</v>
      </c>
      <c r="AX69" s="63" t="e">
        <f>ROUND(VLOOKUP(AR68,許容応力!$B$6:$K$22,7)*100*2/3*0.8,0)</f>
        <v>#VALUE!</v>
      </c>
      <c r="AY69" s="10" t="e">
        <f>IF(AR69=2,ROUND(VLOOKUP(AR68,許容応力!$B$6:$K$22,8)*1.1/3*100,0),ROUND(VLOOKUP(AR68,許容応力!$B$6:$K$22,8)*1.1/3*1.3*100,0))</f>
        <v>#VALUE!</v>
      </c>
      <c r="AZ69" s="63" t="e">
        <f>ROUND(VLOOKUP(AR68,許容応力!$B$6:$K$22,8)*100*2/3*0.8,0)</f>
        <v>#VALUE!</v>
      </c>
      <c r="BA69" s="10" t="e">
        <f>IF(AR69=2,ROUND(VLOOKUP(AR68,許容応力!$B$6:$K$22,9)*1.1/3*100,0),ROUND(VLOOKUP(AR68,許容応力!$B$6:$K$22,9)*1.1/3*1.3*100,0))</f>
        <v>#VALUE!</v>
      </c>
      <c r="BB69" s="63" t="e">
        <f>ROUND(VLOOKUP(AR68,許容応力!$B$6:$K$22,9)*100*2/3*0.8,0)</f>
        <v>#VALUE!</v>
      </c>
      <c r="BC69" s="63">
        <f>IF(AR69=2,400,200)</f>
        <v>400</v>
      </c>
      <c r="BD69" s="63">
        <f>ROUND(AW65/BC69,2)</f>
        <v>0</v>
      </c>
      <c r="BE69" s="3" t="e">
        <f>ROUND(($AY67+CB67+DA68)/$BK69,1)</f>
        <v>#DIV/0!</v>
      </c>
      <c r="BF69" s="3" t="e">
        <f>ROUND(($CT66)/$BL69,2)</f>
        <v>#VALUE!</v>
      </c>
      <c r="BG69" s="63" t="e">
        <f>ROUND((BC67+CB68+DA69)/AY69,1)</f>
        <v>#DIV/0!</v>
      </c>
      <c r="BH69" s="3" t="e">
        <f>ROUND(($BA67+CB67+DB68)/$BK69,1)</f>
        <v>#DIV/0!</v>
      </c>
      <c r="BI69" s="3" t="e">
        <f>ROUNDDOWN(($CV66)/$BL69,1)</f>
        <v>#VALUE!</v>
      </c>
      <c r="BJ69" s="63" t="e">
        <f>ROUND((BE67+CB68+DB69)/AZ69,1)</f>
        <v>#DIV/0!</v>
      </c>
      <c r="BK69" s="63">
        <f>ROUNDDOWN(M65/10*POWER(O65/10,2)/6*IF(OR(W65=0,W65=1),1,W65),0)</f>
        <v>0</v>
      </c>
      <c r="BL69" s="63">
        <f>ROUNDDOWN(M65/10*POWER(O65/10,3)/12*IF(OR(W65=0,W65=1),1,W65),0)</f>
        <v>0</v>
      </c>
      <c r="BM69" s="63" t="e">
        <f>ROUND(BC67/(BA69*AH65),1)</f>
        <v>#DIV/0!</v>
      </c>
      <c r="BN69" s="63" t="e">
        <f>ROUND(BE67/(BB69*AH65),1)</f>
        <v>#DIV/0!</v>
      </c>
      <c r="CD69" s="805" t="s">
        <v>292</v>
      </c>
      <c r="CE69" s="3" t="e">
        <f>ROUND(M65/10*POWER(CE67,3)/12,0)</f>
        <v>#N/A</v>
      </c>
      <c r="CZ69" s="3" t="s">
        <v>1018</v>
      </c>
      <c r="DA69" s="3">
        <f>+DA66*M70*100/2</f>
        <v>0</v>
      </c>
      <c r="DB69" s="3" t="e">
        <f>+DB66*M70*100/2</f>
        <v>#VALUE!</v>
      </c>
      <c r="DE69" s="3" t="e">
        <f t="shared" ref="DE69:DJ69" si="18">+DE68</f>
        <v>#N/A</v>
      </c>
      <c r="DF69" s="3" t="e">
        <f t="shared" si="18"/>
        <v>#N/A</v>
      </c>
      <c r="DG69" s="3" t="e">
        <f t="shared" si="18"/>
        <v>#N/A</v>
      </c>
      <c r="DH69" s="3" t="e">
        <f t="shared" si="18"/>
        <v>#N/A</v>
      </c>
      <c r="DI69" s="3" t="e">
        <f t="shared" si="18"/>
        <v>#N/A</v>
      </c>
      <c r="DJ69" s="3" t="e">
        <f t="shared" si="18"/>
        <v>#N/A</v>
      </c>
    </row>
    <row r="70" spans="2:117" x14ac:dyDescent="0.15">
      <c r="B70" s="1701"/>
      <c r="C70" s="1410"/>
      <c r="D70" s="1322"/>
      <c r="E70" s="1211"/>
      <c r="F70" s="1028"/>
      <c r="G70" s="1028"/>
      <c r="H70" s="440">
        <f>ROUND((F70+G70)/2,2)</f>
        <v>0</v>
      </c>
      <c r="I70" s="1410"/>
      <c r="J70" s="1028"/>
      <c r="K70" s="476"/>
      <c r="L70" s="1028"/>
      <c r="M70" s="471">
        <f>SUM(J70:L70)</f>
        <v>0</v>
      </c>
      <c r="N70" s="440">
        <f>+M70*100</f>
        <v>0</v>
      </c>
      <c r="O70" s="302"/>
      <c r="P70" s="302"/>
      <c r="Q70" s="302"/>
      <c r="R70" s="302"/>
      <c r="S70" s="302"/>
      <c r="T70" s="302"/>
      <c r="U70" s="302"/>
      <c r="V70" s="302"/>
      <c r="W70" s="302"/>
      <c r="X70" s="302"/>
      <c r="Y70" s="1024">
        <f>IF(X69=0,0,+$O$169)</f>
        <v>0</v>
      </c>
      <c r="Z70" s="302"/>
      <c r="AA70" s="302"/>
      <c r="AB70" s="302"/>
      <c r="AC70" s="302"/>
      <c r="AD70" s="302"/>
      <c r="AE70" s="302"/>
      <c r="AF70" s="302"/>
      <c r="AG70" s="302"/>
      <c r="AH70" s="302"/>
      <c r="AI70" s="302"/>
      <c r="AJ70" s="302"/>
      <c r="AK70" s="302"/>
      <c r="AL70" s="181"/>
      <c r="AM70" s="302"/>
      <c r="AW70" s="3" t="e">
        <f>+AW69</f>
        <v>#VALUE!</v>
      </c>
      <c r="AX70" s="3" t="e">
        <f t="shared" ref="AX70:BD70" si="19">+AX69</f>
        <v>#VALUE!</v>
      </c>
      <c r="AY70" s="3" t="e">
        <f t="shared" si="19"/>
        <v>#VALUE!</v>
      </c>
      <c r="AZ70" s="3" t="e">
        <f t="shared" si="19"/>
        <v>#VALUE!</v>
      </c>
      <c r="BA70" s="3" t="e">
        <f t="shared" si="19"/>
        <v>#VALUE!</v>
      </c>
      <c r="BB70" s="3" t="e">
        <f t="shared" si="19"/>
        <v>#VALUE!</v>
      </c>
      <c r="BC70" s="3">
        <f t="shared" si="19"/>
        <v>400</v>
      </c>
      <c r="BD70" s="3">
        <f t="shared" si="19"/>
        <v>0</v>
      </c>
      <c r="BE70" s="3" t="e">
        <f>ROUND((CB67+$AY67+DA68)/$BK70,1)</f>
        <v>#N/A</v>
      </c>
      <c r="BF70" s="3" t="e">
        <f>ROUND(($CT67)/$BL70,2)</f>
        <v>#VALUE!</v>
      </c>
      <c r="BG70" s="63" t="e">
        <f>ROUND((BC67+CB68+DA69)/AY69,1)</f>
        <v>#DIV/0!</v>
      </c>
      <c r="BH70" s="3" t="e">
        <f>ROUND(($BA67+CB67+DB68)/$BK70,1)</f>
        <v>#DIV/0!</v>
      </c>
      <c r="BI70" s="3" t="e">
        <f>ROUND(($CV67)/$BL70,2)</f>
        <v>#VALUE!</v>
      </c>
      <c r="BJ70" s="63" t="e">
        <f>ROUND((BE67+CB68+DB69)/AZ69,1)</f>
        <v>#DIV/0!</v>
      </c>
      <c r="BK70" s="63">
        <f>IF(O66&lt;180,ROUND((O66/10-3)*POWER(O66/10-3,2)/6*IF(EX66=0,1,W66),0),ROUND((O66/10-5)*POWER((O66/10-3),2)/6*IF(W66=0,1,W66),0))</f>
        <v>-5</v>
      </c>
      <c r="BL70" s="63">
        <f>ROUND(IF(O66&lt;180,(O66/10-3)*POWER((O66/10-3),3)/12*IF(W66=0,1,W66),(O66/10-5))*POWER((O66/10-3),3)/12*IF(W66=0,1,W66),0)</f>
        <v>-15</v>
      </c>
      <c r="BM70" s="63" t="e">
        <f>+BM69</f>
        <v>#DIV/0!</v>
      </c>
      <c r="BN70" s="63" t="e">
        <f>+BN69</f>
        <v>#DIV/0!</v>
      </c>
    </row>
    <row r="71" spans="2:117" ht="15" thickBot="1" x14ac:dyDescent="0.2">
      <c r="B71" s="1381"/>
      <c r="C71" s="1411" t="s">
        <v>1002</v>
      </c>
      <c r="D71" s="1412"/>
      <c r="E71" s="1150"/>
      <c r="F71" s="472" t="s">
        <v>1003</v>
      </c>
      <c r="G71" s="1136"/>
      <c r="H71" s="459" t="s">
        <v>1004</v>
      </c>
      <c r="I71" s="460"/>
      <c r="J71" s="466"/>
      <c r="K71" s="473"/>
      <c r="L71" s="473"/>
      <c r="M71" s="473"/>
      <c r="N71" s="473"/>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175"/>
      <c r="AM71" s="302"/>
    </row>
    <row r="72" spans="2:117" ht="15" thickBot="1" x14ac:dyDescent="0.2">
      <c r="B72" s="1344" t="s">
        <v>1073</v>
      </c>
      <c r="C72" s="671"/>
      <c r="D72" s="665"/>
      <c r="E72" s="673"/>
      <c r="F72" s="670"/>
      <c r="G72" s="666" t="s">
        <v>1061</v>
      </c>
      <c r="H72" s="666" t="s">
        <v>1063</v>
      </c>
      <c r="I72" s="799" t="s">
        <v>965</v>
      </c>
      <c r="J72" s="799" t="s">
        <v>1022</v>
      </c>
      <c r="K72" s="799" t="s">
        <v>966</v>
      </c>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181"/>
      <c r="AM72" s="302"/>
      <c r="CA72" s="3">
        <v>1</v>
      </c>
      <c r="CB72" s="3">
        <v>2</v>
      </c>
      <c r="CC72" s="3">
        <v>3</v>
      </c>
      <c r="CD72" s="3">
        <v>4</v>
      </c>
      <c r="CE72" s="3">
        <v>5</v>
      </c>
      <c r="CF72" s="3">
        <v>6</v>
      </c>
      <c r="DK72" s="3" t="s">
        <v>1223</v>
      </c>
      <c r="DL72" s="3" t="s">
        <v>1224</v>
      </c>
    </row>
    <row r="73" spans="2:117" ht="14.25" customHeight="1" x14ac:dyDescent="0.15">
      <c r="B73" s="1701"/>
      <c r="C73" s="1688"/>
      <c r="D73" s="438"/>
      <c r="E73" s="1687"/>
      <c r="F73" s="1668" t="str">
        <f>IF(E73=0,"",ROUND(SQRT(COS(AV73*1.5*PI()/180)),3))</f>
        <v/>
      </c>
      <c r="G73" s="674"/>
      <c r="H73" s="674"/>
      <c r="I73" s="802"/>
      <c r="J73" s="802"/>
      <c r="K73" s="801"/>
      <c r="L73" s="1657"/>
      <c r="M73" s="1654"/>
      <c r="N73" s="1200">
        <f>+IF(M73=0,0,"×")</f>
        <v>0</v>
      </c>
      <c r="O73" s="1295">
        <f>IF(M73=0,0,CN74)</f>
        <v>0</v>
      </c>
      <c r="P73" s="1296" t="str">
        <f>IF(X73=+"","",IF(AND(X73&lt;=1,Y73&lt;=1,AA73&lt;=1,AB73&lt;=1),"OK!","NO!"))</f>
        <v/>
      </c>
      <c r="Q73" s="1296">
        <f>IF(U73=0,0,IF(AND(Z73=0,AC73=0),0,IF(IF(Z73&gt;=AC73,Z73,AC73)&lt;=1,"OK!","NO!")))</f>
        <v>0</v>
      </c>
      <c r="R73" s="1659"/>
      <c r="S73" s="1269"/>
      <c r="T73" s="1271">
        <f>IF(S73=0,0,BU73)</f>
        <v>0</v>
      </c>
      <c r="U73" s="1253">
        <f>IF(AND(T77=0,S73=0),0,+IF(AND(VALUE(RIGHT(R73,4))=2,T77&gt;0),0,IF(AND(VALUE(RIGHT(R73,4))=1,S73&gt;0),0,DM73)))</f>
        <v>0</v>
      </c>
      <c r="V73" s="1257">
        <f>IF(S73=0,0,IF(BG77&gt;=BJ77,BG77,BJ77))</f>
        <v>0</v>
      </c>
      <c r="W73" s="1652"/>
      <c r="X73" s="1257" t="str">
        <f>IF(O73=0,"",ROUNDUP($BE77/$AW77,2))</f>
        <v/>
      </c>
      <c r="Y73" s="1257" t="str">
        <f>IF(O73=0,"",ROUND($BF77/$BD77,2))</f>
        <v/>
      </c>
      <c r="Z73" s="1257">
        <f>IF(L73=0,0,IF(AND(S73=0,Z77=0),0,IF(S73=0,ROUNDUP(BC75/(AY77*$P$181*$AR$10*Z77/100),2),+BV73)))</f>
        <v>0</v>
      </c>
      <c r="AA73" s="1257" t="str">
        <f>IF(O73=0,"",ROUNDUP($BH77/$AX77,2))</f>
        <v/>
      </c>
      <c r="AB73" s="1257" t="str">
        <f>IF(O73=0,"",ROUNDUP($BI77/$BD77,2))</f>
        <v/>
      </c>
      <c r="AC73" s="1257">
        <f>IF(L73=0,0,IF(AND(S73=0,X77=0),0,IF(S73=0,ROUNDUP(BE75/(AZ77*$P$181*$AR$10*Z77/100),2),+BW73)))</f>
        <v>0</v>
      </c>
      <c r="AD73" s="162"/>
      <c r="AE73" s="447"/>
      <c r="AF73" s="430"/>
      <c r="AG73" s="428"/>
      <c r="AH73" s="1253">
        <f>IF(AD73=0,0,ROUND(AD73*AE73+AF73*AG73+AD74*AE74+AF74*AG74,2))</f>
        <v>0</v>
      </c>
      <c r="AI73" s="1253">
        <f>IF(AD73=0,0,IF(AN73=1,AM73/($AR$10*Z77),+AM73))</f>
        <v>0</v>
      </c>
      <c r="AJ73" s="1255" t="str">
        <f>IF(AI73=0,"",IF(AI73&lt;=1,"OK!","NO!"))</f>
        <v/>
      </c>
      <c r="AK73" s="182">
        <f>+IF(J78=0,0,"1/")</f>
        <v>0</v>
      </c>
      <c r="AL73" s="183">
        <f>IF(J78=0,0,+BC77)</f>
        <v>0</v>
      </c>
      <c r="AM73" s="3" t="e">
        <f>+IF(BM77&gt;=BN77,BM77+DK74,BN77+DL74)</f>
        <v>#DIV/0!</v>
      </c>
      <c r="AN73" s="3">
        <f>IF(R77=0,0,+VALUE(RIGHT(R77,4)))</f>
        <v>0</v>
      </c>
      <c r="AQ73" s="479" t="s">
        <v>877</v>
      </c>
      <c r="AR73" s="632">
        <f>+準備!G57+AT73</f>
        <v>850</v>
      </c>
      <c r="AS73" s="632" t="e">
        <f>+準備!G57+AU73</f>
        <v>#VALUE!</v>
      </c>
      <c r="AT73" s="63">
        <f>ROUNDUP(IF(VALUE(RIGHT($G$52,3))=1,AU73*0.7,0),0)</f>
        <v>0</v>
      </c>
      <c r="AU73" s="63" t="e">
        <f>ROUNDUP(IF(VALUE(RIGHT($G$52,4))=1,$M$52*30*F73*100,$M$52*20*F73*100),0)</f>
        <v>#VALUE!</v>
      </c>
      <c r="AV73" s="69">
        <f>ROUND(ATAN(E73/10)*180/PI(),4)</f>
        <v>0</v>
      </c>
      <c r="AW73" s="3">
        <f>+N78</f>
        <v>0</v>
      </c>
      <c r="AX73" s="3" t="s">
        <v>1033</v>
      </c>
      <c r="AY73" s="3" t="e">
        <f>ROUND($AU74*$AU75/$AW73*$AR74,1)</f>
        <v>#DIV/0!</v>
      </c>
      <c r="AZ73" s="641">
        <f>+AU75</f>
        <v>0</v>
      </c>
      <c r="BA73" s="640">
        <f>+AW74</f>
        <v>0</v>
      </c>
      <c r="BB73" s="3" t="e">
        <f>ROUND($AY73*$BA73/$AZ73+$AY74,0)</f>
        <v>#DIV/0!</v>
      </c>
      <c r="BC73" s="3" t="s">
        <v>1035</v>
      </c>
      <c r="BD73" s="3" t="e">
        <f>ROUND($AU74*$AU75/$AW73*$AS74,1)</f>
        <v>#DIV/0!</v>
      </c>
      <c r="BE73" s="3" t="e">
        <f>ROUND($BD73*$BA73/$AZ73+$BD74,0)</f>
        <v>#DIV/0!</v>
      </c>
      <c r="BF73" s="3" t="s">
        <v>1039</v>
      </c>
      <c r="BG73" s="3" t="e">
        <f>ROUND($AU75/$AW73*$AR74,0)</f>
        <v>#DIV/0!</v>
      </c>
      <c r="BH73" s="3" t="e">
        <f>ROUND($AU74/$AW73*$AR74,0)</f>
        <v>#DIV/0!</v>
      </c>
      <c r="BI73" s="3" t="s">
        <v>1043</v>
      </c>
      <c r="BJ73" s="3" t="e">
        <f>ROUND($AU75/$AW73*$AS74,0)</f>
        <v>#DIV/0!</v>
      </c>
      <c r="BK73" s="3" t="e">
        <f>ROUND($AU74/$AW73*$AS74,0)</f>
        <v>#DIV/0!</v>
      </c>
      <c r="BL73" s="3" t="s">
        <v>1057</v>
      </c>
      <c r="BM73" s="3">
        <f>ROUND(POWER($AW73,2)-POWER($AU75,2),0)</f>
        <v>0</v>
      </c>
      <c r="BN73" s="3">
        <f>ROUND(POWER($AW73,2)-POWER($AW75,2),0)</f>
        <v>0</v>
      </c>
      <c r="BO73" s="3">
        <f>+SQRT(POWER(BM73,3))</f>
        <v>0</v>
      </c>
      <c r="BP73" s="3">
        <f>+SQRT(POWER(BN73,3))</f>
        <v>0</v>
      </c>
      <c r="BQ73" s="63" t="e">
        <f>ROUNDUP($AR74*$AU75*$BO73/(9*SQRT(3)*$AT76*$AW73),2)</f>
        <v>#VALUE!</v>
      </c>
      <c r="BR73" s="63" t="e">
        <f>ROUNDUP($AR75*$AW75*$BP73/(9*SQRT(3)*$AT76*$AW73),2)</f>
        <v>#VALUE!</v>
      </c>
      <c r="BS73" s="63" t="e">
        <f>ROUNDUP($AS74*$AU75*$BO73/(9*SQRT(3)*$AT76*$AW73),2)</f>
        <v>#VALUE!</v>
      </c>
      <c r="BT73" s="63" t="e">
        <f>ROUNDUP($AS75*$AW75*$BP73/(9*SQRT(3)*$AT76*$AW73),2)</f>
        <v>#VALUE!</v>
      </c>
      <c r="BU73" s="9">
        <f>IF(O73=0,0,ROUNDUP(SQRT((V73*M73/10*O73/10)/(S73*S73)),2))</f>
        <v>0</v>
      </c>
      <c r="BV73" s="3" t="e">
        <f>ROUND((+BC75+CB76+DA77)/(AY77*U73),2)</f>
        <v>#DIV/0!</v>
      </c>
      <c r="BW73" s="3" t="e">
        <f>ROUND((+BE75+CB76+DB77)/(AZ77*U73),2)</f>
        <v>#DIV/0!</v>
      </c>
      <c r="BX73" s="393"/>
      <c r="BY73" s="805" t="s">
        <v>269</v>
      </c>
      <c r="BZ73" s="805" t="s">
        <v>269</v>
      </c>
      <c r="CA73" s="632">
        <f>+準備!$G$20/100</f>
        <v>4.5</v>
      </c>
      <c r="CB73" s="632">
        <f>+準備!$G$24/100</f>
        <v>11</v>
      </c>
      <c r="CC73" s="632">
        <f>+準備!$G$28/100</f>
        <v>14</v>
      </c>
      <c r="CD73" s="632">
        <f>+準備!$G$32/100</f>
        <v>17.5</v>
      </c>
      <c r="CE73" s="632">
        <f>+準備!$G$36/100</f>
        <v>17.5</v>
      </c>
      <c r="CF73" s="632">
        <f>+準備!$G$38/100</f>
        <v>4</v>
      </c>
      <c r="CN73" s="3" t="s">
        <v>998</v>
      </c>
      <c r="CO73" s="3" t="s">
        <v>995</v>
      </c>
      <c r="CP73" s="3" t="s">
        <v>189</v>
      </c>
      <c r="CQ73" s="3" t="s">
        <v>996</v>
      </c>
      <c r="CR73" s="3" t="s">
        <v>189</v>
      </c>
      <c r="CS73" s="3" t="s">
        <v>1059</v>
      </c>
      <c r="CT73" s="3" t="s">
        <v>189</v>
      </c>
      <c r="CU73" s="3" t="s">
        <v>996</v>
      </c>
      <c r="CV73" s="2" t="s">
        <v>189</v>
      </c>
      <c r="CW73" s="548" t="s">
        <v>995</v>
      </c>
      <c r="CX73" s="548" t="s">
        <v>189</v>
      </c>
      <c r="CY73" s="548" t="s">
        <v>996</v>
      </c>
      <c r="CZ73" s="548" t="s">
        <v>189</v>
      </c>
      <c r="DA73" s="805" t="s">
        <v>269</v>
      </c>
      <c r="DB73" s="805" t="s">
        <v>269</v>
      </c>
      <c r="DC73" s="3" t="s">
        <v>189</v>
      </c>
      <c r="DE73" s="3" t="e">
        <f>ROUND(($CB75+DA76)/$CE76,1)</f>
        <v>#N/A</v>
      </c>
      <c r="DF73" s="3" t="e">
        <f>ROUND(($CC76+DC75)/$CE77,2)</f>
        <v>#N/A</v>
      </c>
      <c r="DG73" s="3" t="e">
        <f>ROUND(($CB76+$DA77)/$U73,1)</f>
        <v>#N/A</v>
      </c>
      <c r="DH73" s="3" t="e">
        <f>ROUND(($CB75+DB76)/$CE76,1)</f>
        <v>#N/A</v>
      </c>
      <c r="DI73" s="3" t="e">
        <f>ROUND(($CC76+DD75)/$CE77,2)</f>
        <v>#N/A</v>
      </c>
      <c r="DJ73" s="3" t="e">
        <f>ROUND(($CB76+DB77)/$U73,1)</f>
        <v>#N/A</v>
      </c>
      <c r="DK73" s="3" t="e">
        <f>ROUND(VLOOKUP(VALUE(RIGHT($L73,4)),許容応力!$B$6:$K$22,9)*1.1/3*100,0)</f>
        <v>#VALUE!</v>
      </c>
      <c r="DL73" s="3" t="e">
        <f>ROUND(VLOOKUP(VALUE(RIGHT($L73,4)),許容応力!$B$6:$K$22,9)*2/3*0.8*100,0)</f>
        <v>#VALUE!</v>
      </c>
      <c r="DM73" s="1253">
        <f>IF(AND(S73=0,W77=0),0,IF(T73=0,P$181*AR10*Z77/100,ROUND(POWER(S73*T73,2)/(M73/10*O73/10),2)))</f>
        <v>0</v>
      </c>
    </row>
    <row r="74" spans="2:117" x14ac:dyDescent="0.15">
      <c r="B74" s="1701"/>
      <c r="C74" s="1676"/>
      <c r="D74" s="439"/>
      <c r="E74" s="1677"/>
      <c r="F74" s="1555"/>
      <c r="G74" s="440" t="s">
        <v>1064</v>
      </c>
      <c r="H74" s="440" t="s">
        <v>1062</v>
      </c>
      <c r="I74" s="801"/>
      <c r="J74" s="801"/>
      <c r="K74" s="801"/>
      <c r="L74" s="1658"/>
      <c r="M74" s="1653"/>
      <c r="N74" s="1258"/>
      <c r="O74" s="1258"/>
      <c r="P74" s="1258"/>
      <c r="Q74" s="1392"/>
      <c r="R74" s="1660"/>
      <c r="S74" s="1507"/>
      <c r="T74" s="1254"/>
      <c r="U74" s="1272"/>
      <c r="V74" s="1254"/>
      <c r="W74" s="1653"/>
      <c r="X74" s="1258"/>
      <c r="Y74" s="1258"/>
      <c r="Z74" s="1254"/>
      <c r="AA74" s="1258"/>
      <c r="AB74" s="1258"/>
      <c r="AC74" s="1254"/>
      <c r="AD74" s="160"/>
      <c r="AE74" s="432"/>
      <c r="AF74" s="433"/>
      <c r="AG74" s="434"/>
      <c r="AH74" s="1254"/>
      <c r="AI74" s="1254"/>
      <c r="AJ74" s="1673"/>
      <c r="AK74" s="184">
        <f>+IF(G78=0,0,"1/")</f>
        <v>0</v>
      </c>
      <c r="AL74" s="185">
        <f>IF(J78=0,0,+BC78)</f>
        <v>0</v>
      </c>
      <c r="AM74" s="597"/>
      <c r="AN74" s="407"/>
      <c r="AQ74" s="638" t="s">
        <v>1023</v>
      </c>
      <c r="AR74" s="3">
        <f>ROUND(AR73*(G73+H73)/2*(I73+J73)/2,0)</f>
        <v>0</v>
      </c>
      <c r="AS74" s="3" t="e">
        <f>ROUND(AS73*(G73+H73)/2*(I73+J73)/2,0)</f>
        <v>#VALUE!</v>
      </c>
      <c r="AT74" s="3" t="s">
        <v>1029</v>
      </c>
      <c r="AU74" s="640">
        <f>+J78*100</f>
        <v>0</v>
      </c>
      <c r="AV74" s="3" t="s">
        <v>1031</v>
      </c>
      <c r="AW74" s="640">
        <f>+L78*100</f>
        <v>0</v>
      </c>
      <c r="AX74" s="3" t="s">
        <v>1034</v>
      </c>
      <c r="AY74" s="3" t="e">
        <f>ROUND($AW74*$AW75/$AW73*$AR75,1)</f>
        <v>#DIV/0!</v>
      </c>
      <c r="AZ74" s="641">
        <f>+AW75</f>
        <v>0</v>
      </c>
      <c r="BA74" s="640">
        <f>+AU74</f>
        <v>0</v>
      </c>
      <c r="BB74" s="3" t="e">
        <f>ROUND($AY74*$BA74/$AZ74+$AY73,0)</f>
        <v>#DIV/0!</v>
      </c>
      <c r="BC74" s="3" t="s">
        <v>1036</v>
      </c>
      <c r="BD74" s="3" t="e">
        <f>ROUND($AW74*$AW75/$AW73*$AS75,1)</f>
        <v>#DIV/0!</v>
      </c>
      <c r="BE74" s="3" t="e">
        <f>ROUND($BD74*$BA74/$AZ74+$BD73,0)</f>
        <v>#DIV/0!</v>
      </c>
      <c r="BF74" s="3" t="s">
        <v>1040</v>
      </c>
      <c r="BG74" s="3" t="e">
        <f>ROUND($AW74/$AW73*$AR75,0)</f>
        <v>#DIV/0!</v>
      </c>
      <c r="BH74" s="3" t="e">
        <f>ROUND($AW75/$AW73*$AR75,0)</f>
        <v>#DIV/0!</v>
      </c>
      <c r="BI74" s="3" t="s">
        <v>1044</v>
      </c>
      <c r="BJ74" s="3" t="e">
        <f>ROUND($AW74/$AW73*$AS75,0)</f>
        <v>#DIV/0!</v>
      </c>
      <c r="BK74" s="3" t="e">
        <f>ROUND($AW75/$AW73*$AS75,0)</f>
        <v>#DIV/0!</v>
      </c>
      <c r="BM74" s="3">
        <f>ROUND(POWER($AW73,2)-POWER($AW74,2),0)</f>
        <v>0</v>
      </c>
      <c r="BN74" s="3">
        <f>ROUND(POWER($AW73,2)-POWER($AW75,2),0)</f>
        <v>0</v>
      </c>
      <c r="BO74" s="3">
        <f>+SQRT(POWER(BM74,3))</f>
        <v>0</v>
      </c>
      <c r="BP74" s="3">
        <f>+SQRT(POWER(BN74,3))</f>
        <v>0</v>
      </c>
      <c r="BQ74" s="63" t="e">
        <f>ROUNDUP($BR73*$AU74/$AW75,2)</f>
        <v>#VALUE!</v>
      </c>
      <c r="BR74" s="63" t="e">
        <f>ROUNDUP($BQ73*$AW74/$AU75,2)</f>
        <v>#VALUE!</v>
      </c>
      <c r="BS74" s="63" t="e">
        <f>ROUNDUP($BT73*$AU74/$AW75,2)</f>
        <v>#VALUE!</v>
      </c>
      <c r="BT74" s="63" t="e">
        <f>ROUNDUP($BS73*$AW74/$AU75,2)</f>
        <v>#VALUE!</v>
      </c>
      <c r="BU74" s="9">
        <f>IF(O74=0,0,ROUNDUP(SQRT(IF(R74=0,(V74*(O74/10-6)*(O74/10-3)),(V74*(R74/10-6)*(R74/10-3)))/(S74*S74)),2))</f>
        <v>0</v>
      </c>
      <c r="BV74" s="3" t="e">
        <f>ROUND((+BC75+CB76+DA77)/(AY78*S74*T74),2)</f>
        <v>#DIV/0!</v>
      </c>
      <c r="BW74" s="3" t="e">
        <f>ROUND((+BE75+CB76+DB77)/(AZ78*S74*T74),2)</f>
        <v>#DIV/0!</v>
      </c>
      <c r="BX74" s="78"/>
      <c r="BY74" s="87" t="e">
        <f>IF(OR(BV75=0,BV75=1),0,ROUNDUP((準備!$G$60/100+準備!$D$48/100)*((F78+G78)/2*100)/200,2))</f>
        <v>#N/A</v>
      </c>
      <c r="BZ74" s="87" t="e">
        <f>+BY74</f>
        <v>#N/A</v>
      </c>
      <c r="CA74" s="3">
        <f t="shared" ref="CA74:CF74" si="20">ROUND(CA73*$I79,2)</f>
        <v>0</v>
      </c>
      <c r="CB74" s="3">
        <f t="shared" si="20"/>
        <v>0</v>
      </c>
      <c r="CC74" s="3">
        <f t="shared" si="20"/>
        <v>0</v>
      </c>
      <c r="CD74" s="3">
        <f t="shared" si="20"/>
        <v>0</v>
      </c>
      <c r="CE74" s="3">
        <f t="shared" si="20"/>
        <v>0</v>
      </c>
      <c r="CF74" s="3">
        <f t="shared" si="20"/>
        <v>0</v>
      </c>
      <c r="CJ74" s="63" t="e">
        <f>+ROUNDUP(CO74/3,-1)*3</f>
        <v>#DIV/0!</v>
      </c>
      <c r="CK74" s="63" t="e">
        <f>+ROUNDUP(CP74/3,-1)*3</f>
        <v>#VALUE!</v>
      </c>
      <c r="CL74" s="63" t="e">
        <f>+ROUNDUP(CQ74/3,-1)*3</f>
        <v>#DIV/0!</v>
      </c>
      <c r="CM74" s="63" t="e">
        <f>+ROUNDUP(CR74/3,-1)*3</f>
        <v>#VALUE!</v>
      </c>
      <c r="CN74" s="649" t="e">
        <f>MAX(CJ74:CM74)</f>
        <v>#DIV/0!</v>
      </c>
      <c r="CO74" s="63" t="e">
        <f>ROUNDUP(SQRT(ROUND($CS74/$AW77*6/($M73/10)/IF($W73=0,1,$W73),1))*10,0)</f>
        <v>#DIV/0!</v>
      </c>
      <c r="CP74" s="3" t="e">
        <f>POWER(ROUNDDOWN($CT74/($M73/10)*12,0)/IF($W73=0,1,$W73)/$BD77,1/3)*10</f>
        <v>#VALUE!</v>
      </c>
      <c r="CQ74" s="63" t="e">
        <f>ROUNDUP(SQRT(ROUND($CU74/$AX77*6/($M73/10)/IF($W73=0,1,$W73),1))*10,0)</f>
        <v>#DIV/0!</v>
      </c>
      <c r="CR74" s="3" t="e">
        <f>POWER(ROUNDDOWN($CV74/($M73/10)*12,0)/IF($W73=0,1,$W73)/$BD77,1/3)*10</f>
        <v>#VALUE!</v>
      </c>
      <c r="CS74" s="63" t="e">
        <f>+AY75+CB75+DA76</f>
        <v>#DIV/0!</v>
      </c>
      <c r="CT74" s="63" t="e">
        <f>+IF(BQ75&gt;=BR75,BQ75+CC76+DC75,BR75+CC76+DC75)</f>
        <v>#VALUE!</v>
      </c>
      <c r="CU74" s="63" t="e">
        <f>+BA75+CB75+DB76</f>
        <v>#DIV/0!</v>
      </c>
      <c r="CV74" s="78" t="e">
        <f>+IF(BS75&gt;=BT75,BS75+CC76+DD75,BT75+CC76+DD75)</f>
        <v>#VALUE!</v>
      </c>
      <c r="CW74" s="548" t="e">
        <f>+CO74</f>
        <v>#DIV/0!</v>
      </c>
      <c r="CX74" s="548" t="e">
        <f>+CP74</f>
        <v>#VALUE!</v>
      </c>
      <c r="CY74" s="548" t="e">
        <f>CQ74</f>
        <v>#DIV/0!</v>
      </c>
      <c r="CZ74" s="548" t="e">
        <f>+CR74</f>
        <v>#VALUE!</v>
      </c>
      <c r="DA74" s="87">
        <f>IF(OR($BV75=0,$BV75=1),0,ROUND((準備!$G$6+$AT73)*$G78/200,2))</f>
        <v>0</v>
      </c>
      <c r="DB74" s="87" t="e">
        <f>IF(OR($BV75=0,$BV75=1),0,ROUND((準備!$G$6+$AU73)*$G78/200,2))</f>
        <v>#VALUE!</v>
      </c>
      <c r="DC74" s="3" t="s">
        <v>168</v>
      </c>
      <c r="DD74" s="3" t="s">
        <v>203</v>
      </c>
      <c r="DE74" s="3" t="e">
        <f t="shared" ref="DE74:DJ74" si="21">+DE73</f>
        <v>#N/A</v>
      </c>
      <c r="DF74" s="3" t="e">
        <f t="shared" si="21"/>
        <v>#N/A</v>
      </c>
      <c r="DG74" s="3" t="e">
        <f t="shared" si="21"/>
        <v>#N/A</v>
      </c>
      <c r="DH74" s="3" t="e">
        <f t="shared" si="21"/>
        <v>#N/A</v>
      </c>
      <c r="DI74" s="3" t="e">
        <f t="shared" si="21"/>
        <v>#N/A</v>
      </c>
      <c r="DJ74" s="3" t="e">
        <f t="shared" si="21"/>
        <v>#N/A</v>
      </c>
      <c r="DK74" s="3" t="e">
        <f>ROUND(DA74*M78*100/2/DK73/AH73,2)</f>
        <v>#VALUE!</v>
      </c>
      <c r="DL74" s="3" t="e">
        <f>ROUND(DB74*M78*100/2/DL73/AH73,2)</f>
        <v>#VALUE!</v>
      </c>
      <c r="DM74" s="1254"/>
    </row>
    <row r="75" spans="2:117" x14ac:dyDescent="0.15">
      <c r="B75" s="1701"/>
      <c r="C75" s="1270"/>
      <c r="D75" s="194"/>
      <c r="E75" s="1270"/>
      <c r="F75" s="1254"/>
      <c r="G75" s="475"/>
      <c r="H75" s="475"/>
      <c r="I75" s="801"/>
      <c r="J75" s="801">
        <f>+J73</f>
        <v>0</v>
      </c>
      <c r="K75" s="802"/>
      <c r="L75" s="302"/>
      <c r="M75" s="451"/>
      <c r="N75" s="451"/>
      <c r="O75" s="451"/>
      <c r="P75" s="451"/>
      <c r="Q75" s="451"/>
      <c r="R75" s="451"/>
      <c r="S75" s="878"/>
      <c r="T75" s="1307" t="s">
        <v>1154</v>
      </c>
      <c r="U75" s="1308"/>
      <c r="V75" s="1308"/>
      <c r="W75" s="1308"/>
      <c r="X75" s="1308"/>
      <c r="Y75" s="1308"/>
      <c r="Z75" s="1621"/>
      <c r="AA75" s="451"/>
      <c r="AB75" s="451"/>
      <c r="AC75" s="451"/>
      <c r="AD75" s="451"/>
      <c r="AE75" s="451"/>
      <c r="AF75" s="176"/>
      <c r="AG75" s="176"/>
      <c r="AH75" s="176"/>
      <c r="AI75" s="176"/>
      <c r="AJ75" s="176"/>
      <c r="AK75" s="176"/>
      <c r="AL75" s="469"/>
      <c r="AM75" s="302"/>
      <c r="AQ75" s="638" t="s">
        <v>1024</v>
      </c>
      <c r="AR75" s="3">
        <f>ROUND(AR73*(G75+H75)/2*(K75+J75)/2,0)</f>
        <v>0</v>
      </c>
      <c r="AS75" s="3" t="e">
        <f>ROUND(AS73*(G75+H75)/2*(K75+J75)/2,0)</f>
        <v>#VALUE!</v>
      </c>
      <c r="AT75" s="3" t="s">
        <v>1030</v>
      </c>
      <c r="AU75" s="641">
        <f>(+K78+L78)*100</f>
        <v>0</v>
      </c>
      <c r="AV75" s="3" t="s">
        <v>1032</v>
      </c>
      <c r="AW75" s="641">
        <f>(+J78+K78)*100</f>
        <v>0</v>
      </c>
      <c r="AX75" s="3" t="s">
        <v>1037</v>
      </c>
      <c r="AY75" s="548" t="e">
        <f>+IF(BB73&gt;=BB74,BB73,BB74)</f>
        <v>#DIV/0!</v>
      </c>
      <c r="AZ75" s="3" t="s">
        <v>1038</v>
      </c>
      <c r="BA75" s="548" t="e">
        <f>+IF(BE73&gt;=BE74,BE73,BE74)</f>
        <v>#DIV/0!</v>
      </c>
      <c r="BB75" s="3" t="s">
        <v>1041</v>
      </c>
      <c r="BC75" s="548" t="e">
        <f>+IF(BG75&gt;=BH75,BG75,BH75)</f>
        <v>#DIV/0!</v>
      </c>
      <c r="BD75" s="3" t="s">
        <v>1042</v>
      </c>
      <c r="BE75" s="548" t="e">
        <f>+IF(BJ75&gt;=BK75,BJ75,BK75)</f>
        <v>#DIV/0!</v>
      </c>
      <c r="BG75" s="3" t="e">
        <f>SUM(BG73:BG74)</f>
        <v>#DIV/0!</v>
      </c>
      <c r="BH75" s="3" t="e">
        <f>SUM(BH73:BH74)</f>
        <v>#DIV/0!</v>
      </c>
      <c r="BJ75" s="3" t="e">
        <f>SUM(BJ73:BJ74)</f>
        <v>#DIV/0!</v>
      </c>
      <c r="BK75" s="3" t="e">
        <f>SUM(BK73:BK74)</f>
        <v>#DIV/0!</v>
      </c>
      <c r="BM75" s="3">
        <f t="shared" ref="BM75:BT75" si="22">SUM(BM73:BM74)</f>
        <v>0</v>
      </c>
      <c r="BN75" s="3">
        <f t="shared" si="22"/>
        <v>0</v>
      </c>
      <c r="BO75" s="3">
        <f t="shared" si="22"/>
        <v>0</v>
      </c>
      <c r="BP75" s="3">
        <f t="shared" si="22"/>
        <v>0</v>
      </c>
      <c r="BQ75" s="3" t="e">
        <f t="shared" si="22"/>
        <v>#VALUE!</v>
      </c>
      <c r="BR75" s="3" t="e">
        <f t="shared" si="22"/>
        <v>#VALUE!</v>
      </c>
      <c r="BS75" s="3" t="e">
        <f t="shared" si="22"/>
        <v>#VALUE!</v>
      </c>
      <c r="BT75" s="3" t="e">
        <f t="shared" si="22"/>
        <v>#VALUE!</v>
      </c>
      <c r="BU75" s="3" t="s">
        <v>1012</v>
      </c>
      <c r="BV75" s="3">
        <f>IF(D76=0,0,+VALUE(RIGHT(D76,4)))</f>
        <v>2</v>
      </c>
      <c r="BW75" s="3" t="s">
        <v>1003</v>
      </c>
      <c r="BX75" s="3" t="e">
        <f>+VALUE(RIGHT(G79,4))</f>
        <v>#VALUE!</v>
      </c>
      <c r="BY75" s="3">
        <f>IF(OR(BV76=0,BV76=2),0,HLOOKUP(BX75,CA72:CF74,3))</f>
        <v>0</v>
      </c>
      <c r="BZ75" s="3">
        <f>+BY75</f>
        <v>0</v>
      </c>
      <c r="CA75" s="3" t="s">
        <v>1019</v>
      </c>
      <c r="CB75" s="3" t="e">
        <f>BY76*POWER(AW73,2)/8</f>
        <v>#N/A</v>
      </c>
      <c r="CC75" s="3" t="s">
        <v>189</v>
      </c>
      <c r="CD75" s="3" t="s">
        <v>782</v>
      </c>
      <c r="CE75" s="3" t="e">
        <f>ROUNDUP(+SQRT((CB75+DA76)*6/(AW77*M73/10)),0)</f>
        <v>#N/A</v>
      </c>
      <c r="CJ75" s="63" t="e">
        <f>IF(W74=0.8,VLOOKUP(CW75,$AR$398:$AS$443,2),IF(W74=0.9,VLOOKUP(CW75,$AR$351:$AS$396,2),VLOOKUP(CW75,$AR$304:$AS$349,2)))</f>
        <v>#DIV/0!</v>
      </c>
      <c r="CK75" s="63" t="e">
        <f>IF(W74=0.8,VLOOKUP(CX75,$AT$398:$AU$443,2),IF(W74=0.9,VLOOKUP(CX75,$AT$351:$AU$396,2),VLOOKUP(CX75,$AT$304:$AU$349,2)))</f>
        <v>#VALUE!</v>
      </c>
      <c r="CL75" s="63" t="e">
        <f>IF(W74=0.8,VLOOKUP(CY75,$AR$398:$AS$443,2),IF(W74=0.9,VLOOKUP(CY75,$AR$351:$AS$396,2),VLOOKUP(CY75,$AR$304:$AS$349,2)))</f>
        <v>#DIV/0!</v>
      </c>
      <c r="CM75" s="63" t="e">
        <f>IF(W74=0.8,VLOOKUP(CZ75,$AT$398:$AU$443,2),IF(W74=0.9,VLOOKUP(CZ75,$AT$351:$AU$397,2),VLOOKUP(CZ75,$AT$304:$AU$349,2)))</f>
        <v>#VALUE!</v>
      </c>
      <c r="CN75" s="649" t="e">
        <f>MAX(CJ75:CM75)</f>
        <v>#DIV/0!</v>
      </c>
      <c r="CO75" s="63" t="e">
        <f>ROUNDUP(CS75/$AW77/IF(W74=0,1,W74),1)</f>
        <v>#DIV/0!</v>
      </c>
      <c r="CP75" s="63" t="e">
        <f>ROUNDUP($CT75/($BD77*AT77),2)</f>
        <v>#VALUE!</v>
      </c>
      <c r="CQ75" s="63" t="e">
        <f>ROUNDUP(CU75/$AX77/IF(W74=0,1,W74),1)</f>
        <v>#DIV/0!</v>
      </c>
      <c r="CR75" s="63" t="e">
        <f>ROUNDUP($CV75/($BD77*AT77),2)</f>
        <v>#VALUE!</v>
      </c>
      <c r="CS75" s="63" t="e">
        <f>+CS74</f>
        <v>#DIV/0!</v>
      </c>
      <c r="CT75" s="3" t="e">
        <f>+CT74</f>
        <v>#VALUE!</v>
      </c>
      <c r="CU75" s="3" t="e">
        <f>+CU74</f>
        <v>#DIV/0!</v>
      </c>
      <c r="CV75" s="2" t="e">
        <f>+CV74</f>
        <v>#VALUE!</v>
      </c>
      <c r="CW75" s="548" t="e">
        <f>+CO75</f>
        <v>#DIV/0!</v>
      </c>
      <c r="CX75" s="548" t="e">
        <f>+CP75</f>
        <v>#VALUE!</v>
      </c>
      <c r="CY75" s="548" t="e">
        <f>CQ75</f>
        <v>#DIV/0!</v>
      </c>
      <c r="CZ75" s="548" t="e">
        <f>+CR75</f>
        <v>#VALUE!</v>
      </c>
      <c r="DC75" s="3" t="e">
        <f>5*DA74*POWER(N78,4)/(384*AT76)</f>
        <v>#VALUE!</v>
      </c>
      <c r="DD75" s="3" t="e">
        <f>5*DB74*POWER(N78,4)/(384*AT76)</f>
        <v>#VALUE!</v>
      </c>
      <c r="DE75" s="412" t="s">
        <v>1065</v>
      </c>
      <c r="DF75" s="349" t="s">
        <v>1066</v>
      </c>
      <c r="DG75" s="412" t="s">
        <v>1067</v>
      </c>
      <c r="DH75" s="412" t="s">
        <v>1065</v>
      </c>
      <c r="DI75" s="349" t="s">
        <v>1066</v>
      </c>
      <c r="DJ75" s="412" t="s">
        <v>1067</v>
      </c>
    </row>
    <row r="76" spans="2:117" ht="14.25" customHeight="1" x14ac:dyDescent="0.15">
      <c r="B76" s="1701"/>
      <c r="C76" s="1679" t="s">
        <v>980</v>
      </c>
      <c r="D76" s="1702" t="s">
        <v>961</v>
      </c>
      <c r="E76" s="1703"/>
      <c r="F76" s="1407" t="s">
        <v>964</v>
      </c>
      <c r="G76" s="1408"/>
      <c r="H76" s="1669" t="s">
        <v>1025</v>
      </c>
      <c r="I76" s="1679" t="s">
        <v>970</v>
      </c>
      <c r="J76" s="1277" t="s">
        <v>1060</v>
      </c>
      <c r="K76" s="1671"/>
      <c r="L76" s="1671"/>
      <c r="M76" s="1278"/>
      <c r="N76" s="302"/>
      <c r="O76" s="302"/>
      <c r="P76" s="302"/>
      <c r="Q76" s="302"/>
      <c r="R76" s="1342"/>
      <c r="S76" s="1406"/>
      <c r="T76" s="877" t="s">
        <v>1265</v>
      </c>
      <c r="U76" s="877" t="s">
        <v>1266</v>
      </c>
      <c r="V76" s="877" t="s">
        <v>1267</v>
      </c>
      <c r="W76" s="877" t="s">
        <v>1260</v>
      </c>
      <c r="X76" s="877" t="s">
        <v>1268</v>
      </c>
      <c r="Y76" s="440" t="s">
        <v>1151</v>
      </c>
      <c r="Z76" s="440" t="s">
        <v>1153</v>
      </c>
      <c r="AA76" s="302"/>
      <c r="AB76" s="302"/>
      <c r="AC76" s="302"/>
      <c r="AD76" s="302"/>
      <c r="AE76" s="302"/>
      <c r="AF76" s="194"/>
      <c r="AG76" s="194"/>
      <c r="AH76" s="194"/>
      <c r="AI76" s="194"/>
      <c r="AJ76" s="194"/>
      <c r="AK76" s="194"/>
      <c r="AL76" s="181"/>
      <c r="AM76" s="302"/>
      <c r="AQ76" s="3" t="s">
        <v>15</v>
      </c>
      <c r="AR76" s="3" t="e">
        <f>+VALUE(RIGHT(L73,4))</f>
        <v>#VALUE!</v>
      </c>
      <c r="AS76" s="615" t="s">
        <v>880</v>
      </c>
      <c r="AT76" s="642" t="e">
        <f>+VLOOKUP(VALUE(RIGHT(L73,4)),許容応力!$B$6:$K$22,10)*100</f>
        <v>#VALUE!</v>
      </c>
      <c r="AU76" s="615" t="s">
        <v>881</v>
      </c>
      <c r="AV76" s="520">
        <f>+BN75</f>
        <v>0</v>
      </c>
      <c r="AW76" s="3" t="s">
        <v>997</v>
      </c>
      <c r="AX76" s="3" t="s">
        <v>294</v>
      </c>
      <c r="AY76" s="52" t="s">
        <v>498</v>
      </c>
      <c r="AZ76" s="52" t="s">
        <v>499</v>
      </c>
      <c r="BA76" s="52" t="s">
        <v>500</v>
      </c>
      <c r="BB76" s="52" t="s">
        <v>501</v>
      </c>
      <c r="BC76" s="805" t="s">
        <v>295</v>
      </c>
      <c r="BD76" s="805" t="s">
        <v>296</v>
      </c>
      <c r="BE76" s="52" t="s">
        <v>287</v>
      </c>
      <c r="BF76" s="805" t="s">
        <v>288</v>
      </c>
      <c r="BG76" s="52" t="s">
        <v>490</v>
      </c>
      <c r="BH76" s="52" t="s">
        <v>289</v>
      </c>
      <c r="BI76" s="805" t="s">
        <v>290</v>
      </c>
      <c r="BJ76" s="52" t="s">
        <v>493</v>
      </c>
      <c r="BK76" s="805" t="s">
        <v>291</v>
      </c>
      <c r="BL76" s="805" t="s">
        <v>292</v>
      </c>
      <c r="BM76" s="412" t="s">
        <v>1020</v>
      </c>
      <c r="BN76" s="412" t="s">
        <v>1021</v>
      </c>
      <c r="BU76" s="3" t="s">
        <v>1002</v>
      </c>
      <c r="BV76" s="3">
        <f>IF(E79=0,0,+VALUE(RIGHT(E79,4)))</f>
        <v>0</v>
      </c>
      <c r="BX76" s="3" t="s">
        <v>1011</v>
      </c>
      <c r="BY76" s="3" t="e">
        <f>+BY74+BY75</f>
        <v>#N/A</v>
      </c>
      <c r="BZ76" s="3" t="e">
        <f>+BZ74+BZ75</f>
        <v>#N/A</v>
      </c>
      <c r="CA76" s="3" t="s">
        <v>1018</v>
      </c>
      <c r="CB76" s="3" t="e">
        <f>+BY76*AW73/2</f>
        <v>#N/A</v>
      </c>
      <c r="CC76" s="3" t="e">
        <f>5*BY76*POWER(AW73,4)/(384*AT76)</f>
        <v>#N/A</v>
      </c>
      <c r="CD76" s="805" t="s">
        <v>291</v>
      </c>
      <c r="CE76" s="3" t="e">
        <f>ROUND(M73/10*POWER(CE75,2)/6,0)</f>
        <v>#N/A</v>
      </c>
      <c r="CZ76" s="3" t="s">
        <v>1019</v>
      </c>
      <c r="DA76" s="3">
        <f>+DA74*POWER(M78*100,2)/8</f>
        <v>0</v>
      </c>
      <c r="DB76" s="3" t="e">
        <f>+DB74*POWER(M78*100,2)/8</f>
        <v>#VALUE!</v>
      </c>
      <c r="DE76" s="3" t="e">
        <f>ROUND(DE73/AW77,2)</f>
        <v>#N/A</v>
      </c>
      <c r="DF76" s="3" t="e">
        <f>ROUND(DF73/BD77,2)</f>
        <v>#N/A</v>
      </c>
      <c r="DG76" s="3" t="e">
        <f>ROUND(DG73/AY77,2)</f>
        <v>#N/A</v>
      </c>
      <c r="DH76" s="3" t="e">
        <f>ROUND(DH73/AX77,2)</f>
        <v>#N/A</v>
      </c>
      <c r="DI76" s="3" t="e">
        <f>ROUND(DF73/BD77,2)</f>
        <v>#N/A</v>
      </c>
      <c r="DJ76" s="3" t="e">
        <f>ROUND(DG73/AZ77,2)</f>
        <v>#N/A</v>
      </c>
    </row>
    <row r="77" spans="2:117" x14ac:dyDescent="0.15">
      <c r="B77" s="1701"/>
      <c r="C77" s="1409"/>
      <c r="D77" s="1704"/>
      <c r="E77" s="1705"/>
      <c r="F77" s="411" t="s">
        <v>971</v>
      </c>
      <c r="G77" s="587" t="s">
        <v>1071</v>
      </c>
      <c r="H77" s="1254"/>
      <c r="I77" s="1409"/>
      <c r="J77" s="440" t="s">
        <v>965</v>
      </c>
      <c r="K77" s="440" t="s">
        <v>1022</v>
      </c>
      <c r="L77" s="440" t="s">
        <v>966</v>
      </c>
      <c r="M77" s="470" t="s">
        <v>1026</v>
      </c>
      <c r="N77" s="668" t="s">
        <v>1071</v>
      </c>
      <c r="O77" s="456" t="s">
        <v>1072</v>
      </c>
      <c r="P77" s="457"/>
      <c r="Q77" s="876"/>
      <c r="R77" s="1382"/>
      <c r="S77" s="1406"/>
      <c r="T77" s="1029"/>
      <c r="U77" s="1029"/>
      <c r="V77" s="882">
        <f>+IF(U77=0,0,6)</f>
        <v>0</v>
      </c>
      <c r="W77" s="1029"/>
      <c r="X77" s="1029"/>
      <c r="Y77" s="1018">
        <f>IF(X77=0,0,+$P$170)</f>
        <v>0</v>
      </c>
      <c r="Z77" s="667">
        <f>IF(X77=0,0,+VLOOKUP(Y77,$I$189:$J$194,2))</f>
        <v>0</v>
      </c>
      <c r="AA77" s="302"/>
      <c r="AB77" s="302"/>
      <c r="AC77" s="302"/>
      <c r="AD77" s="302"/>
      <c r="AE77" s="302"/>
      <c r="AF77" s="194"/>
      <c r="AG77" s="194"/>
      <c r="AH77" s="194"/>
      <c r="AI77" s="194"/>
      <c r="AJ77" s="194"/>
      <c r="AK77" s="194"/>
      <c r="AL77" s="181"/>
      <c r="AM77" s="302"/>
      <c r="AQ77" s="638" t="s">
        <v>1055</v>
      </c>
      <c r="AR77" s="409">
        <f>+VALUE(RIGHT($G$52,3))</f>
        <v>2</v>
      </c>
      <c r="AS77" s="520" t="s">
        <v>241</v>
      </c>
      <c r="AT77" s="3">
        <f>+IF(OR(W74=0,W74=1),1,W74)</f>
        <v>1</v>
      </c>
      <c r="AW77" s="10" t="e">
        <f>IF(AR77=2,ROUND(VLOOKUP(AR76,許容応力!$B$6:$K$22,7)*1.1/3*100,0),ROUND(VLOOKUP(AR76,許容応力!$B$6:$K$22,7)*1.1/3*1.3*100,0))</f>
        <v>#VALUE!</v>
      </c>
      <c r="AX77" s="63" t="e">
        <f>ROUND(VLOOKUP(AR76,許容応力!$B$6:$K$22,7)*100*2/3*0.8,0)</f>
        <v>#VALUE!</v>
      </c>
      <c r="AY77" s="10" t="e">
        <f>IF(AR77=2,ROUND(VLOOKUP(AR76,許容応力!$B$6:$K$22,8)*1.1/3*100,0),ROUND(VLOOKUP(AR76,許容応力!$B$6:$K$22,8)*1.1/3*1.3*100,0))</f>
        <v>#VALUE!</v>
      </c>
      <c r="AZ77" s="63" t="e">
        <f>ROUND(VLOOKUP(AR76,許容応力!$B$6:$K$22,8)*100*2/3*0.8,0)</f>
        <v>#VALUE!</v>
      </c>
      <c r="BA77" s="10" t="e">
        <f>IF(AR77=2,ROUND(VLOOKUP(AR76,許容応力!$B$6:$K$22,9)*1.1/3*100,0),ROUND(VLOOKUP(AR76,許容応力!$B$6:$K$22,9)*1.1/3*1.3*100,0))</f>
        <v>#VALUE!</v>
      </c>
      <c r="BB77" s="63" t="e">
        <f>ROUND(VLOOKUP(AR76,許容応力!$B$6:$K$22,9)*100*2/3*0.8,0)</f>
        <v>#VALUE!</v>
      </c>
      <c r="BC77" s="63">
        <f>IF(AR77=2,400,200)</f>
        <v>400</v>
      </c>
      <c r="BD77" s="63">
        <f>ROUND(AW73/BC77,2)</f>
        <v>0</v>
      </c>
      <c r="BE77" s="3" t="e">
        <f>ROUND(($AY75+CB75+DA76)/$BK77,1)</f>
        <v>#DIV/0!</v>
      </c>
      <c r="BF77" s="3" t="e">
        <f>ROUND(($CT74)/$BL77,2)</f>
        <v>#VALUE!</v>
      </c>
      <c r="BG77" s="63" t="e">
        <f>ROUND((BC75+CB76+DA77)/AY77,1)</f>
        <v>#DIV/0!</v>
      </c>
      <c r="BH77" s="3" t="e">
        <f>ROUND(($BA75+CB75+DB76)/$BK77,1)</f>
        <v>#DIV/0!</v>
      </c>
      <c r="BI77" s="3" t="e">
        <f>ROUNDDOWN(($CV74)/$BL77,1)</f>
        <v>#VALUE!</v>
      </c>
      <c r="BJ77" s="63" t="e">
        <f>ROUND((BE75+CB76+DB77)/AZ77,1)</f>
        <v>#DIV/0!</v>
      </c>
      <c r="BK77" s="63">
        <f>ROUNDDOWN(M73/10*POWER(O73/10,2)/6*IF(OR(W73=0,W73=1),1,W73),0)</f>
        <v>0</v>
      </c>
      <c r="BL77" s="63">
        <f>ROUNDDOWN(M73/10*POWER(O73/10,3)/12*IF(OR(W73=0,W73=1),1,W73),0)</f>
        <v>0</v>
      </c>
      <c r="BM77" s="63" t="e">
        <f>ROUND(BC75/(BA77*AH73),1)</f>
        <v>#DIV/0!</v>
      </c>
      <c r="BN77" s="63" t="e">
        <f>ROUND(BE75/(BB77*AH73),1)</f>
        <v>#DIV/0!</v>
      </c>
      <c r="CD77" s="805" t="s">
        <v>292</v>
      </c>
      <c r="CE77" s="3" t="e">
        <f>ROUND(M73/10*POWER(CE75,3)/12,0)</f>
        <v>#N/A</v>
      </c>
      <c r="CZ77" s="3" t="s">
        <v>1018</v>
      </c>
      <c r="DA77" s="3">
        <f>+DA74*M78*100/2</f>
        <v>0</v>
      </c>
      <c r="DB77" s="3" t="e">
        <f>+DB74*M78*100/2</f>
        <v>#VALUE!</v>
      </c>
      <c r="DE77" s="3" t="e">
        <f t="shared" ref="DE77:DJ77" si="23">+DE76</f>
        <v>#N/A</v>
      </c>
      <c r="DF77" s="3" t="e">
        <f t="shared" si="23"/>
        <v>#N/A</v>
      </c>
      <c r="DG77" s="3" t="e">
        <f t="shared" si="23"/>
        <v>#N/A</v>
      </c>
      <c r="DH77" s="3" t="e">
        <f t="shared" si="23"/>
        <v>#N/A</v>
      </c>
      <c r="DI77" s="3" t="e">
        <f t="shared" si="23"/>
        <v>#N/A</v>
      </c>
      <c r="DJ77" s="3" t="e">
        <f t="shared" si="23"/>
        <v>#N/A</v>
      </c>
    </row>
    <row r="78" spans="2:117" x14ac:dyDescent="0.15">
      <c r="B78" s="1701"/>
      <c r="C78" s="1410"/>
      <c r="D78" s="1706"/>
      <c r="E78" s="1707"/>
      <c r="F78" s="1028"/>
      <c r="G78" s="1028"/>
      <c r="H78" s="440">
        <f>ROUND((F78+G78)/2,2)</f>
        <v>0</v>
      </c>
      <c r="I78" s="1410"/>
      <c r="J78" s="1028"/>
      <c r="K78" s="476"/>
      <c r="L78" s="1028"/>
      <c r="M78" s="471">
        <f>SUM(J78:L78)</f>
        <v>0</v>
      </c>
      <c r="N78" s="440">
        <f>+M78*100</f>
        <v>0</v>
      </c>
      <c r="O78" s="302"/>
      <c r="P78" s="302"/>
      <c r="Q78" s="302"/>
      <c r="R78" s="302"/>
      <c r="S78" s="302"/>
      <c r="T78" s="302"/>
      <c r="U78" s="302"/>
      <c r="V78" s="302"/>
      <c r="W78" s="302"/>
      <c r="X78" s="302"/>
      <c r="Y78" s="1024">
        <f>IF(X77=0,0,+$P$169)</f>
        <v>0</v>
      </c>
      <c r="Z78" s="302"/>
      <c r="AA78" s="302"/>
      <c r="AB78" s="302"/>
      <c r="AC78" s="302"/>
      <c r="AD78" s="302"/>
      <c r="AE78" s="302"/>
      <c r="AF78" s="302"/>
      <c r="AG78" s="302"/>
      <c r="AH78" s="302"/>
      <c r="AI78" s="302"/>
      <c r="AJ78" s="302"/>
      <c r="AK78" s="302"/>
      <c r="AL78" s="181"/>
      <c r="AM78" s="302"/>
      <c r="AW78" s="3" t="e">
        <f>+AW77</f>
        <v>#VALUE!</v>
      </c>
      <c r="AX78" s="3" t="e">
        <f t="shared" ref="AX78:BD78" si="24">+AX77</f>
        <v>#VALUE!</v>
      </c>
      <c r="AY78" s="3" t="e">
        <f t="shared" si="24"/>
        <v>#VALUE!</v>
      </c>
      <c r="AZ78" s="3" t="e">
        <f t="shared" si="24"/>
        <v>#VALUE!</v>
      </c>
      <c r="BA78" s="3" t="e">
        <f t="shared" si="24"/>
        <v>#VALUE!</v>
      </c>
      <c r="BB78" s="3" t="e">
        <f t="shared" si="24"/>
        <v>#VALUE!</v>
      </c>
      <c r="BC78" s="3">
        <f t="shared" si="24"/>
        <v>400</v>
      </c>
      <c r="BD78" s="3">
        <f t="shared" si="24"/>
        <v>0</v>
      </c>
      <c r="BE78" s="3" t="e">
        <f>ROUND((CB75+$AY75+DA76)/$BK78,1)</f>
        <v>#N/A</v>
      </c>
      <c r="BF78" s="3" t="e">
        <f>ROUND(($CT75)/$BL78,2)</f>
        <v>#VALUE!</v>
      </c>
      <c r="BG78" s="63" t="e">
        <f>ROUND((BC75+CB76+DA77)/AY77,1)</f>
        <v>#DIV/0!</v>
      </c>
      <c r="BH78" s="3" t="e">
        <f>ROUND(($BA75+CB75+DB76)/$BK78,1)</f>
        <v>#DIV/0!</v>
      </c>
      <c r="BI78" s="3" t="e">
        <f>ROUND(($CV75)/$BL78,2)</f>
        <v>#VALUE!</v>
      </c>
      <c r="BJ78" s="63" t="e">
        <f>ROUND((BE75+CB76+DB77)/AZ77,1)</f>
        <v>#DIV/0!</v>
      </c>
      <c r="BK78" s="63">
        <f>IF(O74&lt;180,ROUND((O74/10-3)*POWER(O74/10-3,2)/6*IF(EX74=0,1,W74),0),ROUND((O74/10-5)*POWER((O74/10-3),2)/6*IF(W74=0,1,W74),0))</f>
        <v>-5</v>
      </c>
      <c r="BL78" s="63">
        <f>ROUND(IF(O74&lt;180,(O74/10-3)*POWER((O74/10-3),3)/12*IF(W74=0,1,W74),(O74/10-5))*POWER((O74/10-3),3)/12*IF(W74=0,1,W74),0)</f>
        <v>-15</v>
      </c>
      <c r="BM78" s="63" t="e">
        <f>+BM77</f>
        <v>#DIV/0!</v>
      </c>
      <c r="BN78" s="63" t="e">
        <f>+BN77</f>
        <v>#DIV/0!</v>
      </c>
    </row>
    <row r="79" spans="2:117" ht="15" thickBot="1" x14ac:dyDescent="0.2">
      <c r="B79" s="1381"/>
      <c r="C79" s="1411" t="s">
        <v>1002</v>
      </c>
      <c r="D79" s="1412"/>
      <c r="E79" s="1150"/>
      <c r="F79" s="472" t="s">
        <v>1003</v>
      </c>
      <c r="G79" s="1136"/>
      <c r="H79" s="459" t="s">
        <v>1004</v>
      </c>
      <c r="I79" s="460"/>
      <c r="J79" s="466"/>
      <c r="K79" s="473"/>
      <c r="L79" s="473"/>
      <c r="M79" s="473"/>
      <c r="N79" s="473"/>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175"/>
      <c r="AM79" s="302"/>
    </row>
    <row r="80" spans="2:117" ht="15" thickBot="1" x14ac:dyDescent="0.2">
      <c r="B80" s="1344" t="s">
        <v>1073</v>
      </c>
      <c r="C80" s="671"/>
      <c r="D80" s="665"/>
      <c r="E80" s="672"/>
      <c r="F80" s="670"/>
      <c r="G80" s="666" t="s">
        <v>1061</v>
      </c>
      <c r="H80" s="666" t="s">
        <v>1063</v>
      </c>
      <c r="I80" s="799" t="s">
        <v>965</v>
      </c>
      <c r="J80" s="799" t="s">
        <v>1022</v>
      </c>
      <c r="K80" s="799" t="s">
        <v>966</v>
      </c>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181"/>
      <c r="AM80" s="302"/>
      <c r="CA80" s="3">
        <v>1</v>
      </c>
      <c r="CB80" s="3">
        <v>2</v>
      </c>
      <c r="CC80" s="3">
        <v>3</v>
      </c>
      <c r="CD80" s="3">
        <v>4</v>
      </c>
      <c r="CE80" s="3">
        <v>5</v>
      </c>
      <c r="CF80" s="3">
        <v>6</v>
      </c>
      <c r="DK80" s="3" t="s">
        <v>1223</v>
      </c>
      <c r="DL80" s="3" t="s">
        <v>1224</v>
      </c>
    </row>
    <row r="81" spans="2:117" ht="14.25" customHeight="1" x14ac:dyDescent="0.15">
      <c r="B81" s="1701"/>
      <c r="C81" s="1688"/>
      <c r="D81" s="438"/>
      <c r="E81" s="1687"/>
      <c r="F81" s="1668" t="str">
        <f>IF(E81=0,"",ROUND(SQRT(COS(AV81*1.5*PI()/180)),3))</f>
        <v/>
      </c>
      <c r="G81" s="674"/>
      <c r="H81" s="674"/>
      <c r="I81" s="802"/>
      <c r="J81" s="802"/>
      <c r="K81" s="801"/>
      <c r="L81" s="1657"/>
      <c r="M81" s="1654"/>
      <c r="N81" s="1200">
        <f>+IF(M81=0,0,"×")</f>
        <v>0</v>
      </c>
      <c r="O81" s="1295">
        <f>IF(M81=0,0,CN82)</f>
        <v>0</v>
      </c>
      <c r="P81" s="1296" t="str">
        <f>IF(X81=+"","",IF(AND(X81&lt;=1,Y81&lt;=1,AA81&lt;=1,AB81&lt;=1),"OK!","NO!"))</f>
        <v/>
      </c>
      <c r="Q81" s="1296">
        <f>IF(U81=0,0,IF(AND(Z81=0,AC81=0),0,IF(IF(Z81&gt;=AC81,Z81,AC81)&lt;=1,"OK!","NO!")))</f>
        <v>0</v>
      </c>
      <c r="R81" s="1659"/>
      <c r="S81" s="1269"/>
      <c r="T81" s="1271">
        <f>IF(S81=0,0,BU81)</f>
        <v>0</v>
      </c>
      <c r="U81" s="1253">
        <f>IF(AND(T85=0,S81=0),0,+IF(AND(VALUE(RIGHT(R81,4))=2,T85&gt;0),0,IF(AND(VALUE(RIGHT(R81,4))=1,S81&gt;0),0,DM81)))</f>
        <v>0</v>
      </c>
      <c r="V81" s="1257">
        <f>IF(S81=0,0,IF(BG85&gt;=BJ85,BG85,BJ85))</f>
        <v>0</v>
      </c>
      <c r="W81" s="1652"/>
      <c r="X81" s="1257" t="str">
        <f>IF(O81=0,"",ROUNDUP($BE85/$AW85,2))</f>
        <v/>
      </c>
      <c r="Y81" s="1257" t="str">
        <f>IF(O81=0,"",ROUND($BF85/$BD85,2))</f>
        <v/>
      </c>
      <c r="Z81" s="1257">
        <f>IF(M81=0,0,IF(AND(S81=0,Z85=0),0,IF(S81=0,ROUNDUP(BC83/(AY85*$Q$181*$AR$10*Z85/100),2),+BV81)))</f>
        <v>0</v>
      </c>
      <c r="AA81" s="1257" t="str">
        <f>IF(O81=0,"",ROUNDUP($BH85/$AX85,2))</f>
        <v/>
      </c>
      <c r="AB81" s="1257" t="str">
        <f>IF(O81=0,"",ROUNDUP($BI85/$BD85,2))</f>
        <v/>
      </c>
      <c r="AC81" s="1257">
        <f>IF(L81=0,0,IF(AND(S81=0,X85=0),0,IF(S81=0,ROUNDUP(BE83/(AZ85*$Q$181*$AR$10*Z85/100),2),+BW81)))</f>
        <v>0</v>
      </c>
      <c r="AD81" s="162"/>
      <c r="AE81" s="447"/>
      <c r="AF81" s="430"/>
      <c r="AG81" s="428"/>
      <c r="AH81" s="1253">
        <f>IF(AD81=0,0,ROUND(AD81*AE81+AF81*AG81+AD82*AE82+AF82*AG82,2))</f>
        <v>0</v>
      </c>
      <c r="AI81" s="1253">
        <f>IF(AD81=0,0,IF(AN81=1,AM81/($AR$10*Z85),+AM81))</f>
        <v>0</v>
      </c>
      <c r="AJ81" s="1255" t="str">
        <f>IF(AI81=0,"",IF(AI81&lt;=1,"OK!","NO!"))</f>
        <v/>
      </c>
      <c r="AK81" s="182">
        <f>+IF(J86=0,0,"1/")</f>
        <v>0</v>
      </c>
      <c r="AL81" s="183">
        <f>IF(J86=0,0,+BC85)</f>
        <v>0</v>
      </c>
      <c r="AM81" s="3" t="e">
        <f>+IF(BM85&gt;=BN85,BM85+DK82,BN85+DL82)</f>
        <v>#DIV/0!</v>
      </c>
      <c r="AN81" s="3">
        <f>IF(R85=0,0,+VALUE(RIGHT(R85,4)))</f>
        <v>0</v>
      </c>
      <c r="AQ81" s="479" t="s">
        <v>877</v>
      </c>
      <c r="AR81" s="632">
        <f>+準備!G57+AT81</f>
        <v>850</v>
      </c>
      <c r="AS81" s="632" t="e">
        <f>+準備!G57+AU81</f>
        <v>#VALUE!</v>
      </c>
      <c r="AT81" s="63">
        <f>ROUNDUP(IF(VALUE(RIGHT($G$52,3))=1,AU81*0.7,0),0)</f>
        <v>0</v>
      </c>
      <c r="AU81" s="63" t="e">
        <f>ROUNDUP(IF(VALUE(RIGHT($G$52,4))=1,$M$52*30*F81*100,$M$52*20*F81*100),0)</f>
        <v>#VALUE!</v>
      </c>
      <c r="AV81" s="69">
        <f>ROUND(ATAN(E81/10)*180/PI(),4)</f>
        <v>0</v>
      </c>
      <c r="AW81" s="3">
        <f>+N86</f>
        <v>0</v>
      </c>
      <c r="AX81" s="3" t="s">
        <v>1033</v>
      </c>
      <c r="AY81" s="3" t="e">
        <f>ROUND($AU82*$AU83/$AW81*$AR82,1)</f>
        <v>#DIV/0!</v>
      </c>
      <c r="AZ81" s="641">
        <f>+AU83</f>
        <v>0</v>
      </c>
      <c r="BA81" s="640">
        <f>+AW82</f>
        <v>0</v>
      </c>
      <c r="BB81" s="3" t="e">
        <f>ROUND($AY81*$BA81/$AZ81+$AY82,0)</f>
        <v>#DIV/0!</v>
      </c>
      <c r="BC81" s="3" t="s">
        <v>1035</v>
      </c>
      <c r="BD81" s="3" t="e">
        <f>ROUND($AU82*$AU83/$AW81*$AS82,1)</f>
        <v>#DIV/0!</v>
      </c>
      <c r="BE81" s="3" t="e">
        <f>ROUND($BD81*$BA81/$AZ81+$BD82,0)</f>
        <v>#DIV/0!</v>
      </c>
      <c r="BF81" s="3" t="s">
        <v>1039</v>
      </c>
      <c r="BG81" s="3" t="e">
        <f>ROUND($AU83/$AW81*$AR82,0)</f>
        <v>#DIV/0!</v>
      </c>
      <c r="BH81" s="3" t="e">
        <f>ROUND($AU82/$AW81*$AR82,0)</f>
        <v>#DIV/0!</v>
      </c>
      <c r="BI81" s="3" t="s">
        <v>1043</v>
      </c>
      <c r="BJ81" s="3" t="e">
        <f>ROUND($AU83/$AW81*$AS82,0)</f>
        <v>#DIV/0!</v>
      </c>
      <c r="BK81" s="3" t="e">
        <f>ROUND($AU82/$AW81*$AS82,0)</f>
        <v>#DIV/0!</v>
      </c>
      <c r="BL81" s="3" t="s">
        <v>1057</v>
      </c>
      <c r="BM81" s="3">
        <f>ROUND(POWER($AW81,2)-POWER($AU83,2),0)</f>
        <v>0</v>
      </c>
      <c r="BN81" s="3">
        <f>ROUND(POWER($AW81,2)-POWER($AW83,2),0)</f>
        <v>0</v>
      </c>
      <c r="BO81" s="3">
        <f>+SQRT(POWER(BM81,3))</f>
        <v>0</v>
      </c>
      <c r="BP81" s="3">
        <f>+SQRT(POWER(BN81,3))</f>
        <v>0</v>
      </c>
      <c r="BQ81" s="63" t="e">
        <f>ROUNDUP($AR82*$AU83*$BO81/(9*SQRT(3)*$AT84*$AW81),2)</f>
        <v>#VALUE!</v>
      </c>
      <c r="BR81" s="63" t="e">
        <f>ROUNDUP($AR83*$AW83*$BP81/(9*SQRT(3)*$AT84*$AW81),2)</f>
        <v>#VALUE!</v>
      </c>
      <c r="BS81" s="63" t="e">
        <f>ROUNDUP($AS82*$AU83*$BO81/(9*SQRT(3)*$AT84*$AW81),2)</f>
        <v>#VALUE!</v>
      </c>
      <c r="BT81" s="63" t="e">
        <f>ROUNDUP($AS83*$AW83*$BP81/(9*SQRT(3)*$AT84*$AW81),2)</f>
        <v>#VALUE!</v>
      </c>
      <c r="BU81" s="9">
        <f>IF(O81=0,0,ROUNDUP(SQRT((V81*M81/10*O81/10)/(S81*S81)),2))</f>
        <v>0</v>
      </c>
      <c r="BV81" s="3" t="e">
        <f>ROUND((+BC83+CB84+DA85)/(AY85*U81),2)</f>
        <v>#DIV/0!</v>
      </c>
      <c r="BW81" s="3" t="e">
        <f>ROUND((+BE83+CB84+DB85)/(AZ85*U81),2)</f>
        <v>#DIV/0!</v>
      </c>
      <c r="BX81" s="393"/>
      <c r="BY81" s="805" t="s">
        <v>269</v>
      </c>
      <c r="BZ81" s="805" t="s">
        <v>269</v>
      </c>
      <c r="CA81" s="632">
        <f>+準備!$G$20/100</f>
        <v>4.5</v>
      </c>
      <c r="CB81" s="632">
        <f>+準備!$G$24/100</f>
        <v>11</v>
      </c>
      <c r="CC81" s="632">
        <f>+準備!$G$28/100</f>
        <v>14</v>
      </c>
      <c r="CD81" s="632">
        <f>+準備!$G$32/100</f>
        <v>17.5</v>
      </c>
      <c r="CE81" s="632">
        <f>+準備!$G$36/100</f>
        <v>17.5</v>
      </c>
      <c r="CF81" s="632">
        <f>+準備!$G$38/100</f>
        <v>4</v>
      </c>
      <c r="CN81" s="3" t="s">
        <v>998</v>
      </c>
      <c r="CO81" s="3" t="s">
        <v>995</v>
      </c>
      <c r="CP81" s="3" t="s">
        <v>189</v>
      </c>
      <c r="CQ81" s="3" t="s">
        <v>996</v>
      </c>
      <c r="CR81" s="3" t="s">
        <v>189</v>
      </c>
      <c r="CS81" s="3" t="s">
        <v>1059</v>
      </c>
      <c r="CT81" s="3" t="s">
        <v>189</v>
      </c>
      <c r="CU81" s="3" t="s">
        <v>996</v>
      </c>
      <c r="CV81" s="2" t="s">
        <v>189</v>
      </c>
      <c r="CW81" s="548" t="s">
        <v>995</v>
      </c>
      <c r="CX81" s="548" t="s">
        <v>189</v>
      </c>
      <c r="CY81" s="548" t="s">
        <v>996</v>
      </c>
      <c r="CZ81" s="548" t="s">
        <v>189</v>
      </c>
      <c r="DA81" s="805" t="s">
        <v>269</v>
      </c>
      <c r="DB81" s="805" t="s">
        <v>269</v>
      </c>
      <c r="DC81" s="3" t="s">
        <v>189</v>
      </c>
      <c r="DE81" s="3" t="e">
        <f>ROUND(($CB83+DA84)/$CE84,1)</f>
        <v>#N/A</v>
      </c>
      <c r="DF81" s="3" t="e">
        <f>ROUND(($CC84+DC83)/$CE85,2)</f>
        <v>#N/A</v>
      </c>
      <c r="DG81" s="3" t="e">
        <f>ROUND(($CB84+$DA85)/$U81,1)</f>
        <v>#N/A</v>
      </c>
      <c r="DH81" s="3" t="e">
        <f>ROUND(($CB83+DB84)/$CE84,1)</f>
        <v>#N/A</v>
      </c>
      <c r="DI81" s="3" t="e">
        <f>ROUND(($CC84+DD83)/$CE85,2)</f>
        <v>#N/A</v>
      </c>
      <c r="DJ81" s="3" t="e">
        <f>ROUND(($CB84+DB85)/$U81,1)</f>
        <v>#N/A</v>
      </c>
      <c r="DK81" s="3" t="e">
        <f>ROUND(VLOOKUP(VALUE(RIGHT($L81,4)),許容応力!$B$6:$K$22,9)*1.1/3*100,0)</f>
        <v>#VALUE!</v>
      </c>
      <c r="DL81" s="3" t="e">
        <f>ROUND(VLOOKUP(VALUE(RIGHT($L81,4)),許容応力!$B$6:$K$22,9)*2/3*0.8*100,0)</f>
        <v>#VALUE!</v>
      </c>
      <c r="DM81" s="1253">
        <f>IF(AND(S81=0,W85=0),0,IF(T81=0,Q$181*AR10*Z85/100,ROUND(POWER(S81*T81,2)/(M81/10*O81/10),2)))</f>
        <v>0</v>
      </c>
    </row>
    <row r="82" spans="2:117" x14ac:dyDescent="0.15">
      <c r="B82" s="1701"/>
      <c r="C82" s="1676"/>
      <c r="D82" s="439"/>
      <c r="E82" s="1677"/>
      <c r="F82" s="1555"/>
      <c r="G82" s="440" t="s">
        <v>1064</v>
      </c>
      <c r="H82" s="440" t="s">
        <v>1062</v>
      </c>
      <c r="I82" s="801"/>
      <c r="J82" s="801"/>
      <c r="K82" s="801"/>
      <c r="L82" s="1658"/>
      <c r="M82" s="1653"/>
      <c r="N82" s="1258"/>
      <c r="O82" s="1258"/>
      <c r="P82" s="1258"/>
      <c r="Q82" s="1392"/>
      <c r="R82" s="1660"/>
      <c r="S82" s="1507"/>
      <c r="T82" s="1254"/>
      <c r="U82" s="1272"/>
      <c r="V82" s="1254"/>
      <c r="W82" s="1653"/>
      <c r="X82" s="1258"/>
      <c r="Y82" s="1258"/>
      <c r="Z82" s="1254"/>
      <c r="AA82" s="1258"/>
      <c r="AB82" s="1258"/>
      <c r="AC82" s="1254"/>
      <c r="AD82" s="160"/>
      <c r="AE82" s="432"/>
      <c r="AF82" s="433"/>
      <c r="AG82" s="434"/>
      <c r="AH82" s="1254"/>
      <c r="AI82" s="1254"/>
      <c r="AJ82" s="1673"/>
      <c r="AK82" s="184">
        <f>+IF(G86=0,0,"1/")</f>
        <v>0</v>
      </c>
      <c r="AL82" s="185">
        <f>IF(J86=0,0,+BC86)</f>
        <v>0</v>
      </c>
      <c r="AM82" s="597"/>
      <c r="AN82" s="407"/>
      <c r="AQ82" s="638" t="s">
        <v>1023</v>
      </c>
      <c r="AR82" s="3">
        <f>ROUND(AR81*(G81+H81)/2*(I81+J81)/2,0)</f>
        <v>0</v>
      </c>
      <c r="AS82" s="3" t="e">
        <f>ROUND(AS81*(G81+H81)/2*(I81+J81)/2,0)</f>
        <v>#VALUE!</v>
      </c>
      <c r="AT82" s="3" t="s">
        <v>1029</v>
      </c>
      <c r="AU82" s="640">
        <f>+J86*100</f>
        <v>0</v>
      </c>
      <c r="AV82" s="3" t="s">
        <v>1031</v>
      </c>
      <c r="AW82" s="640">
        <f>+L86*100</f>
        <v>0</v>
      </c>
      <c r="AX82" s="3" t="s">
        <v>1034</v>
      </c>
      <c r="AY82" s="3" t="e">
        <f>ROUND($AW82*$AW83/$AW81*$AR83,1)</f>
        <v>#DIV/0!</v>
      </c>
      <c r="AZ82" s="641">
        <f>+AW83</f>
        <v>0</v>
      </c>
      <c r="BA82" s="640">
        <f>+AU82</f>
        <v>0</v>
      </c>
      <c r="BB82" s="3" t="e">
        <f>ROUND($AY82*$BA82/$AZ82+$AY81,0)</f>
        <v>#DIV/0!</v>
      </c>
      <c r="BC82" s="3" t="s">
        <v>1036</v>
      </c>
      <c r="BD82" s="3" t="e">
        <f>ROUND($AW82*$AW83/$AW81*$AS83,1)</f>
        <v>#DIV/0!</v>
      </c>
      <c r="BE82" s="3" t="e">
        <f>ROUND($BD82*$BA82/$AZ82+$BD81,0)</f>
        <v>#DIV/0!</v>
      </c>
      <c r="BF82" s="3" t="s">
        <v>1040</v>
      </c>
      <c r="BG82" s="3" t="e">
        <f>ROUND($AW82/$AW81*$AR83,0)</f>
        <v>#DIV/0!</v>
      </c>
      <c r="BH82" s="3" t="e">
        <f>ROUND($AW83/$AW81*$AR83,0)</f>
        <v>#DIV/0!</v>
      </c>
      <c r="BI82" s="3" t="s">
        <v>1044</v>
      </c>
      <c r="BJ82" s="3" t="e">
        <f>ROUND($AW82/$AW81*$AS83,0)</f>
        <v>#DIV/0!</v>
      </c>
      <c r="BK82" s="3" t="e">
        <f>ROUND($AW83/$AW81*$AS83,0)</f>
        <v>#DIV/0!</v>
      </c>
      <c r="BM82" s="3">
        <f>ROUND(POWER($AW81,2)-POWER($AW82,2),0)</f>
        <v>0</v>
      </c>
      <c r="BN82" s="3">
        <f>ROUND(POWER($AW81,2)-POWER($AW83,2),0)</f>
        <v>0</v>
      </c>
      <c r="BO82" s="3">
        <f>+SQRT(POWER(BM82,3))</f>
        <v>0</v>
      </c>
      <c r="BP82" s="3">
        <f>+SQRT(POWER(BN82,3))</f>
        <v>0</v>
      </c>
      <c r="BQ82" s="63" t="e">
        <f>ROUNDUP($BR81*$AU82/$AW83,2)</f>
        <v>#VALUE!</v>
      </c>
      <c r="BR82" s="63" t="e">
        <f>ROUNDUP($BQ81*$AW82/$AU83,2)</f>
        <v>#VALUE!</v>
      </c>
      <c r="BS82" s="63" t="e">
        <f>ROUNDUP($BT81*$AU82/$AW83,2)</f>
        <v>#VALUE!</v>
      </c>
      <c r="BT82" s="63" t="e">
        <f>ROUNDUP($BS81*$AW82/$AU83,2)</f>
        <v>#VALUE!</v>
      </c>
      <c r="BU82" s="9">
        <f>IF(O82=0,0,ROUNDUP(SQRT(IF(R82=0,(V82*(O82/10-6)*(O82/10-3)),(V82*(R82/10-6)*(R82/10-3)))/(S82*S82)),2))</f>
        <v>0</v>
      </c>
      <c r="BV82" s="3" t="e">
        <f>ROUND((+BC83+CB84+DA85)/(AY86*S82*T82),2)</f>
        <v>#DIV/0!</v>
      </c>
      <c r="BW82" s="3" t="e">
        <f>ROUND((+BE83+CB84+DB85)/(AZ86*S82*T82),2)</f>
        <v>#DIV/0!</v>
      </c>
      <c r="BX82" s="78"/>
      <c r="BY82" s="87" t="e">
        <f>IF(OR(BV83=0,BV83=1),0,ROUNDUP((準備!$G$60/100+準備!$D$48/100)*((F86+G86)/2*100)/200,2))</f>
        <v>#N/A</v>
      </c>
      <c r="BZ82" s="87" t="e">
        <f>+BY82</f>
        <v>#N/A</v>
      </c>
      <c r="CA82" s="3">
        <f t="shared" ref="CA82:CF82" si="25">ROUND(CA81*$I87,2)</f>
        <v>0</v>
      </c>
      <c r="CB82" s="3">
        <f t="shared" si="25"/>
        <v>0</v>
      </c>
      <c r="CC82" s="3">
        <f t="shared" si="25"/>
        <v>0</v>
      </c>
      <c r="CD82" s="3">
        <f t="shared" si="25"/>
        <v>0</v>
      </c>
      <c r="CE82" s="3">
        <f t="shared" si="25"/>
        <v>0</v>
      </c>
      <c r="CF82" s="3">
        <f t="shared" si="25"/>
        <v>0</v>
      </c>
      <c r="CJ82" s="63" t="e">
        <f>+ROUNDUP(CO82/3,-1)*3</f>
        <v>#DIV/0!</v>
      </c>
      <c r="CK82" s="63" t="e">
        <f>+ROUNDUP(CP82/3,-1)*3</f>
        <v>#VALUE!</v>
      </c>
      <c r="CL82" s="63" t="e">
        <f>+ROUNDUP(CQ82/3,-1)*3</f>
        <v>#DIV/0!</v>
      </c>
      <c r="CM82" s="63" t="e">
        <f>+ROUNDUP(CR82/3,-1)*3</f>
        <v>#VALUE!</v>
      </c>
      <c r="CN82" s="649" t="e">
        <f>MAX(CJ82:CM82)</f>
        <v>#DIV/0!</v>
      </c>
      <c r="CO82" s="63" t="e">
        <f>ROUNDUP(SQRT(ROUND($CS82/$AW85*6/($M81/10)/IF($W81=0,1,$W81),1))*10,0)</f>
        <v>#DIV/0!</v>
      </c>
      <c r="CP82" s="3" t="e">
        <f>POWER(ROUNDDOWN($CT82/($M81/10)*12,0)/IF($W81=0,1,$W81)/$BD85,1/3)*10</f>
        <v>#VALUE!</v>
      </c>
      <c r="CQ82" s="63" t="e">
        <f>ROUNDUP(SQRT(ROUND($CU82/$AX85*6/($M81/10)/IF($W81=0,1,$W81),1))*10,0)</f>
        <v>#DIV/0!</v>
      </c>
      <c r="CR82" s="3" t="e">
        <f>POWER(ROUNDDOWN($CV82/($M81/10)*12,0)/IF($W81=0,1,$W81)/$BD85,1/3)*10</f>
        <v>#VALUE!</v>
      </c>
      <c r="CS82" s="63" t="e">
        <f>+AY83+CB83+DA84</f>
        <v>#DIV/0!</v>
      </c>
      <c r="CT82" s="63" t="e">
        <f>+IF(BQ83&gt;=BR83,BQ83+CC84+DC83,BR83+CC84+DC83)</f>
        <v>#VALUE!</v>
      </c>
      <c r="CU82" s="63" t="e">
        <f>+BA83+CB83+DB84</f>
        <v>#DIV/0!</v>
      </c>
      <c r="CV82" s="78" t="e">
        <f>+IF(BS83&gt;=BT83,BS83+CC84+DD83,BT83+CC84+DD83)</f>
        <v>#VALUE!</v>
      </c>
      <c r="CW82" s="548" t="e">
        <f>+CO82</f>
        <v>#DIV/0!</v>
      </c>
      <c r="CX82" s="548" t="e">
        <f>+CP82</f>
        <v>#VALUE!</v>
      </c>
      <c r="CY82" s="548" t="e">
        <f>CQ82</f>
        <v>#DIV/0!</v>
      </c>
      <c r="CZ82" s="548" t="e">
        <f>+CR82</f>
        <v>#VALUE!</v>
      </c>
      <c r="DA82" s="87">
        <f>IF(OR($BV83=0,$BV83=1),0,ROUND((準備!$G$6+$AT81)*$G86/200,2))</f>
        <v>0</v>
      </c>
      <c r="DB82" s="87" t="e">
        <f>IF(OR($BV83=0,$BV83=1),0,ROUND((準備!$G$6+$AU81)*$G86/200,2))</f>
        <v>#VALUE!</v>
      </c>
      <c r="DC82" s="3" t="s">
        <v>168</v>
      </c>
      <c r="DD82" s="3" t="s">
        <v>203</v>
      </c>
      <c r="DE82" s="3" t="e">
        <f t="shared" ref="DE82:DJ82" si="26">+DE81</f>
        <v>#N/A</v>
      </c>
      <c r="DF82" s="3" t="e">
        <f t="shared" si="26"/>
        <v>#N/A</v>
      </c>
      <c r="DG82" s="3" t="e">
        <f t="shared" si="26"/>
        <v>#N/A</v>
      </c>
      <c r="DH82" s="3" t="e">
        <f t="shared" si="26"/>
        <v>#N/A</v>
      </c>
      <c r="DI82" s="3" t="e">
        <f t="shared" si="26"/>
        <v>#N/A</v>
      </c>
      <c r="DJ82" s="3" t="e">
        <f t="shared" si="26"/>
        <v>#N/A</v>
      </c>
      <c r="DK82" s="3" t="e">
        <f>ROUND(DA82*M86*100/2/DK81/AH81,2)</f>
        <v>#VALUE!</v>
      </c>
      <c r="DL82" s="3" t="e">
        <f>ROUND(DB82*M86*100/2/DL81/AH81,2)</f>
        <v>#VALUE!</v>
      </c>
      <c r="DM82" s="1254"/>
    </row>
    <row r="83" spans="2:117" x14ac:dyDescent="0.15">
      <c r="B83" s="1701"/>
      <c r="C83" s="1270"/>
      <c r="D83" s="194"/>
      <c r="E83" s="1270"/>
      <c r="F83" s="1254"/>
      <c r="G83" s="475"/>
      <c r="H83" s="475"/>
      <c r="I83" s="801"/>
      <c r="J83" s="801">
        <f>+J81</f>
        <v>0</v>
      </c>
      <c r="K83" s="802"/>
      <c r="L83" s="302"/>
      <c r="M83" s="451"/>
      <c r="N83" s="451"/>
      <c r="O83" s="451"/>
      <c r="P83" s="451"/>
      <c r="Q83" s="451"/>
      <c r="R83" s="451"/>
      <c r="S83" s="878"/>
      <c r="T83" s="1307" t="s">
        <v>1154</v>
      </c>
      <c r="U83" s="1308"/>
      <c r="V83" s="1308"/>
      <c r="W83" s="1308"/>
      <c r="X83" s="1308"/>
      <c r="Y83" s="1308"/>
      <c r="Z83" s="1621"/>
      <c r="AA83" s="451"/>
      <c r="AB83" s="451"/>
      <c r="AC83" s="451"/>
      <c r="AD83" s="451"/>
      <c r="AE83" s="451"/>
      <c r="AF83" s="176"/>
      <c r="AG83" s="176"/>
      <c r="AH83" s="176"/>
      <c r="AI83" s="176"/>
      <c r="AJ83" s="176"/>
      <c r="AK83" s="176"/>
      <c r="AL83" s="469"/>
      <c r="AM83" s="302"/>
      <c r="AQ83" s="638" t="s">
        <v>1024</v>
      </c>
      <c r="AR83" s="3">
        <f>ROUND(AR81*(G83+H83)/2*(K83+J83)/2,0)</f>
        <v>0</v>
      </c>
      <c r="AS83" s="3" t="e">
        <f>ROUND(AS81*(G83+H83)/2*(K83+J83)/2,0)</f>
        <v>#VALUE!</v>
      </c>
      <c r="AT83" s="3" t="s">
        <v>1030</v>
      </c>
      <c r="AU83" s="641">
        <f>(+K86+L86)*100</f>
        <v>0</v>
      </c>
      <c r="AV83" s="3" t="s">
        <v>1032</v>
      </c>
      <c r="AW83" s="641">
        <f>(+J86+K86)*100</f>
        <v>0</v>
      </c>
      <c r="AX83" s="3" t="s">
        <v>1037</v>
      </c>
      <c r="AY83" s="548" t="e">
        <f>+IF(BB81&gt;=BB82,BB81,BB82)</f>
        <v>#DIV/0!</v>
      </c>
      <c r="AZ83" s="3" t="s">
        <v>1038</v>
      </c>
      <c r="BA83" s="548" t="e">
        <f>+IF(BE81&gt;=BE82,BE81,BE82)</f>
        <v>#DIV/0!</v>
      </c>
      <c r="BB83" s="3" t="s">
        <v>1041</v>
      </c>
      <c r="BC83" s="548" t="e">
        <f>+IF(BG83&gt;=BH83,BG83,BH83)</f>
        <v>#DIV/0!</v>
      </c>
      <c r="BD83" s="3" t="s">
        <v>1042</v>
      </c>
      <c r="BE83" s="548" t="e">
        <f>+IF(BJ83&gt;=BK83,BJ83,BK83)</f>
        <v>#DIV/0!</v>
      </c>
      <c r="BG83" s="3" t="e">
        <f>SUM(BG81:BG82)</f>
        <v>#DIV/0!</v>
      </c>
      <c r="BH83" s="3" t="e">
        <f>SUM(BH81:BH82)</f>
        <v>#DIV/0!</v>
      </c>
      <c r="BJ83" s="3" t="e">
        <f>SUM(BJ81:BJ82)</f>
        <v>#DIV/0!</v>
      </c>
      <c r="BK83" s="3" t="e">
        <f>SUM(BK81:BK82)</f>
        <v>#DIV/0!</v>
      </c>
      <c r="BM83" s="3">
        <f t="shared" ref="BM83:BT83" si="27">SUM(BM81:BM82)</f>
        <v>0</v>
      </c>
      <c r="BN83" s="3">
        <f t="shared" si="27"/>
        <v>0</v>
      </c>
      <c r="BO83" s="3">
        <f t="shared" si="27"/>
        <v>0</v>
      </c>
      <c r="BP83" s="3">
        <f t="shared" si="27"/>
        <v>0</v>
      </c>
      <c r="BQ83" s="3" t="e">
        <f t="shared" si="27"/>
        <v>#VALUE!</v>
      </c>
      <c r="BR83" s="3" t="e">
        <f t="shared" si="27"/>
        <v>#VALUE!</v>
      </c>
      <c r="BS83" s="3" t="e">
        <f t="shared" si="27"/>
        <v>#VALUE!</v>
      </c>
      <c r="BT83" s="3" t="e">
        <f t="shared" si="27"/>
        <v>#VALUE!</v>
      </c>
      <c r="BU83" s="3" t="s">
        <v>1012</v>
      </c>
      <c r="BV83" s="3">
        <f>IF(D84=0,0,+VALUE(RIGHT(D84,4)))</f>
        <v>2</v>
      </c>
      <c r="BW83" s="3" t="s">
        <v>1003</v>
      </c>
      <c r="BX83" s="3" t="e">
        <f>+VALUE(RIGHT(G87,4))</f>
        <v>#VALUE!</v>
      </c>
      <c r="BY83" s="3">
        <f>IF(OR(BV84=0,BV84=2),0,HLOOKUP(BX83,CA80:CF82,3))</f>
        <v>0</v>
      </c>
      <c r="BZ83" s="3">
        <f>+BY83</f>
        <v>0</v>
      </c>
      <c r="CA83" s="3" t="s">
        <v>1019</v>
      </c>
      <c r="CB83" s="3" t="e">
        <f>BY84*POWER(AW81,2)/8</f>
        <v>#N/A</v>
      </c>
      <c r="CC83" s="3" t="s">
        <v>189</v>
      </c>
      <c r="CD83" s="3" t="s">
        <v>782</v>
      </c>
      <c r="CE83" s="3" t="e">
        <f>ROUNDUP(+SQRT((CB83+DA84)*6/(AW85*M81/10)),0)</f>
        <v>#N/A</v>
      </c>
      <c r="CJ83" s="63" t="e">
        <f>IF(W82=0.8,VLOOKUP(CW83,$AR$398:$AS$443,2),IF(W82=0.9,VLOOKUP(CW83,$AR$351:$AS$396,2),VLOOKUP(CW83,$AR$304:$AS$349,2)))</f>
        <v>#DIV/0!</v>
      </c>
      <c r="CK83" s="63" t="e">
        <f>IF(W82=0.8,VLOOKUP(CX83,$AT$398:$AU$443,2),IF(W82=0.9,VLOOKUP(CX83,$AT$351:$AU$396,2),VLOOKUP(CX83,$AT$304:$AU$349,2)))</f>
        <v>#VALUE!</v>
      </c>
      <c r="CL83" s="63" t="e">
        <f>IF(W82=0.8,VLOOKUP(CY83,$AR$398:$AS$443,2),IF(W82=0.9,VLOOKUP(CY83,$AR$351:$AS$396,2),VLOOKUP(CY83,$AR$304:$AS$349,2)))</f>
        <v>#DIV/0!</v>
      </c>
      <c r="CM83" s="63" t="e">
        <f>IF(W82=0.8,VLOOKUP(CZ83,$AT$398:$AU$443,2),IF(W82=0.9,VLOOKUP(CZ83,$AT$351:$AU$397,2),VLOOKUP(CZ83,$AT$304:$AU$349,2)))</f>
        <v>#VALUE!</v>
      </c>
      <c r="CN83" s="649" t="e">
        <f>MAX(CJ83:CM83)</f>
        <v>#DIV/0!</v>
      </c>
      <c r="CO83" s="63" t="e">
        <f>ROUNDUP(CS83/$AW85/IF(W82=0,1,W82),1)</f>
        <v>#DIV/0!</v>
      </c>
      <c r="CP83" s="63" t="e">
        <f>ROUNDUP($CT83/($BD85*AT85),2)</f>
        <v>#VALUE!</v>
      </c>
      <c r="CQ83" s="63" t="e">
        <f>ROUNDUP(CU83/$AX85/IF(W82=0,1,W82),1)</f>
        <v>#DIV/0!</v>
      </c>
      <c r="CR83" s="63" t="e">
        <f>ROUNDUP($CV83/($BD85*AT85),2)</f>
        <v>#VALUE!</v>
      </c>
      <c r="CS83" s="63" t="e">
        <f>+CS82</f>
        <v>#DIV/0!</v>
      </c>
      <c r="CT83" s="3" t="e">
        <f>+CT82</f>
        <v>#VALUE!</v>
      </c>
      <c r="CU83" s="3" t="e">
        <f>+CU82</f>
        <v>#DIV/0!</v>
      </c>
      <c r="CV83" s="2" t="e">
        <f>+CV82</f>
        <v>#VALUE!</v>
      </c>
      <c r="CW83" s="548" t="e">
        <f>+CO83</f>
        <v>#DIV/0!</v>
      </c>
      <c r="CX83" s="548" t="e">
        <f>+CP83</f>
        <v>#VALUE!</v>
      </c>
      <c r="CY83" s="548" t="e">
        <f>CQ83</f>
        <v>#DIV/0!</v>
      </c>
      <c r="CZ83" s="548" t="e">
        <f>+CR83</f>
        <v>#VALUE!</v>
      </c>
      <c r="DC83" s="3" t="e">
        <f>5*DA82*POWER(N86,4)/(384*AT84)</f>
        <v>#VALUE!</v>
      </c>
      <c r="DD83" s="3" t="e">
        <f>5*DB82*POWER(N86,4)/(384*AT84)</f>
        <v>#VALUE!</v>
      </c>
      <c r="DE83" s="412" t="s">
        <v>1065</v>
      </c>
      <c r="DF83" s="349" t="s">
        <v>1066</v>
      </c>
      <c r="DG83" s="412" t="s">
        <v>1067</v>
      </c>
      <c r="DH83" s="412" t="s">
        <v>1065</v>
      </c>
      <c r="DI83" s="349" t="s">
        <v>1066</v>
      </c>
      <c r="DJ83" s="412" t="s">
        <v>1067</v>
      </c>
    </row>
    <row r="84" spans="2:117" ht="14.25" customHeight="1" x14ac:dyDescent="0.15">
      <c r="B84" s="1701"/>
      <c r="C84" s="1679" t="s">
        <v>980</v>
      </c>
      <c r="D84" s="1403" t="s">
        <v>961</v>
      </c>
      <c r="E84" s="1404"/>
      <c r="F84" s="1407" t="s">
        <v>964</v>
      </c>
      <c r="G84" s="1408"/>
      <c r="H84" s="1669" t="s">
        <v>1025</v>
      </c>
      <c r="I84" s="1679" t="s">
        <v>970</v>
      </c>
      <c r="J84" s="1277" t="s">
        <v>1060</v>
      </c>
      <c r="K84" s="1671"/>
      <c r="L84" s="1671"/>
      <c r="M84" s="1278"/>
      <c r="N84" s="302"/>
      <c r="O84" s="302"/>
      <c r="P84" s="302"/>
      <c r="Q84" s="302"/>
      <c r="R84" s="1342"/>
      <c r="S84" s="1406"/>
      <c r="T84" s="877" t="s">
        <v>1265</v>
      </c>
      <c r="U84" s="877" t="s">
        <v>1266</v>
      </c>
      <c r="V84" s="877" t="s">
        <v>1267</v>
      </c>
      <c r="W84" s="877" t="s">
        <v>1260</v>
      </c>
      <c r="X84" s="877" t="s">
        <v>1268</v>
      </c>
      <c r="Y84" s="440" t="s">
        <v>1151</v>
      </c>
      <c r="Z84" s="440" t="s">
        <v>1153</v>
      </c>
      <c r="AA84" s="302"/>
      <c r="AB84" s="302"/>
      <c r="AC84" s="302"/>
      <c r="AD84" s="302"/>
      <c r="AE84" s="302"/>
      <c r="AF84" s="194"/>
      <c r="AG84" s="194"/>
      <c r="AH84" s="194"/>
      <c r="AI84" s="194"/>
      <c r="AJ84" s="194"/>
      <c r="AK84" s="194"/>
      <c r="AL84" s="181"/>
      <c r="AM84" s="302"/>
      <c r="AQ84" s="3" t="s">
        <v>15</v>
      </c>
      <c r="AR84" s="3" t="e">
        <f>+VALUE(RIGHT(L81,4))</f>
        <v>#VALUE!</v>
      </c>
      <c r="AS84" s="615" t="s">
        <v>880</v>
      </c>
      <c r="AT84" s="642" t="e">
        <f>+VLOOKUP(VALUE(RIGHT(L81,4)),許容応力!$B$6:$K$22,10)*100</f>
        <v>#VALUE!</v>
      </c>
      <c r="AU84" s="615" t="s">
        <v>881</v>
      </c>
      <c r="AV84" s="520">
        <f>+BN83</f>
        <v>0</v>
      </c>
      <c r="AW84" s="3" t="s">
        <v>997</v>
      </c>
      <c r="AX84" s="3" t="s">
        <v>294</v>
      </c>
      <c r="AY84" s="52" t="s">
        <v>498</v>
      </c>
      <c r="AZ84" s="52" t="s">
        <v>499</v>
      </c>
      <c r="BA84" s="52" t="s">
        <v>500</v>
      </c>
      <c r="BB84" s="52" t="s">
        <v>501</v>
      </c>
      <c r="BC84" s="805" t="s">
        <v>295</v>
      </c>
      <c r="BD84" s="805" t="s">
        <v>296</v>
      </c>
      <c r="BE84" s="52" t="s">
        <v>287</v>
      </c>
      <c r="BF84" s="805" t="s">
        <v>288</v>
      </c>
      <c r="BG84" s="52" t="s">
        <v>490</v>
      </c>
      <c r="BH84" s="52" t="s">
        <v>289</v>
      </c>
      <c r="BI84" s="805" t="s">
        <v>290</v>
      </c>
      <c r="BJ84" s="52" t="s">
        <v>493</v>
      </c>
      <c r="BK84" s="805" t="s">
        <v>291</v>
      </c>
      <c r="BL84" s="805" t="s">
        <v>292</v>
      </c>
      <c r="BM84" s="412" t="s">
        <v>1020</v>
      </c>
      <c r="BN84" s="412" t="s">
        <v>1021</v>
      </c>
      <c r="BU84" s="3" t="s">
        <v>1002</v>
      </c>
      <c r="BV84" s="3">
        <f>IF(E87=0,0,+VALUE(RIGHT(E87,4)))</f>
        <v>0</v>
      </c>
      <c r="BX84" s="3" t="s">
        <v>1011</v>
      </c>
      <c r="BY84" s="3" t="e">
        <f>+BY82+BY83</f>
        <v>#N/A</v>
      </c>
      <c r="BZ84" s="3" t="e">
        <f>+BZ82+BZ83</f>
        <v>#N/A</v>
      </c>
      <c r="CA84" s="3" t="s">
        <v>1018</v>
      </c>
      <c r="CB84" s="3" t="e">
        <f>+BY84*AW81/2</f>
        <v>#N/A</v>
      </c>
      <c r="CC84" s="3" t="e">
        <f>5*BY84*POWER(AW81,4)/(384*AT84)</f>
        <v>#N/A</v>
      </c>
      <c r="CD84" s="805" t="s">
        <v>291</v>
      </c>
      <c r="CE84" s="3" t="e">
        <f>ROUND(M81/10*POWER(CE83,2)/6,0)</f>
        <v>#N/A</v>
      </c>
      <c r="CZ84" s="3" t="s">
        <v>1019</v>
      </c>
      <c r="DA84" s="3">
        <f>+DA82*POWER(M86*100,2)/8</f>
        <v>0</v>
      </c>
      <c r="DB84" s="3" t="e">
        <f>+DB82*POWER(M86*100,2)/8</f>
        <v>#VALUE!</v>
      </c>
      <c r="DE84" s="3" t="e">
        <f>ROUND(DE81/AW85,2)</f>
        <v>#N/A</v>
      </c>
      <c r="DF84" s="3" t="e">
        <f>ROUND(DF81/BD85,2)</f>
        <v>#N/A</v>
      </c>
      <c r="DG84" s="3" t="e">
        <f>ROUND(DG81/AY85,2)</f>
        <v>#N/A</v>
      </c>
      <c r="DH84" s="3" t="e">
        <f>ROUND(DH81/AX85,2)</f>
        <v>#N/A</v>
      </c>
      <c r="DI84" s="3" t="e">
        <f>ROUND(DF81/BD85,2)</f>
        <v>#N/A</v>
      </c>
      <c r="DJ84" s="3" t="e">
        <f>ROUND(DG81/AZ85,2)</f>
        <v>#N/A</v>
      </c>
    </row>
    <row r="85" spans="2:117" x14ac:dyDescent="0.15">
      <c r="B85" s="1701"/>
      <c r="C85" s="1409"/>
      <c r="D85" s="1405"/>
      <c r="E85" s="1406"/>
      <c r="F85" s="411" t="s">
        <v>971</v>
      </c>
      <c r="G85" s="587" t="s">
        <v>1071</v>
      </c>
      <c r="H85" s="1254"/>
      <c r="I85" s="1409"/>
      <c r="J85" s="440" t="s">
        <v>965</v>
      </c>
      <c r="K85" s="440" t="s">
        <v>1022</v>
      </c>
      <c r="L85" s="440" t="s">
        <v>966</v>
      </c>
      <c r="M85" s="470" t="s">
        <v>1026</v>
      </c>
      <c r="N85" s="668" t="s">
        <v>1071</v>
      </c>
      <c r="O85" s="456" t="s">
        <v>1072</v>
      </c>
      <c r="P85" s="457"/>
      <c r="Q85" s="876"/>
      <c r="R85" s="1382"/>
      <c r="S85" s="1406"/>
      <c r="T85" s="1029"/>
      <c r="U85" s="1029"/>
      <c r="V85" s="882">
        <f>+IF(U85=0,0,6)</f>
        <v>0</v>
      </c>
      <c r="W85" s="1029"/>
      <c r="X85" s="1029"/>
      <c r="Y85" s="1018">
        <f>IF(X85=0,0,+$Q$170)</f>
        <v>0</v>
      </c>
      <c r="Z85" s="667">
        <f>IF(X85=0,0,+VLOOKUP(Y85,$I$189:$J$194,2))</f>
        <v>0</v>
      </c>
      <c r="AA85" s="302"/>
      <c r="AB85" s="302"/>
      <c r="AC85" s="302"/>
      <c r="AD85" s="302"/>
      <c r="AE85" s="302"/>
      <c r="AF85" s="194"/>
      <c r="AG85" s="194"/>
      <c r="AH85" s="194"/>
      <c r="AI85" s="194"/>
      <c r="AJ85" s="194"/>
      <c r="AK85" s="194"/>
      <c r="AL85" s="181"/>
      <c r="AM85" s="302"/>
      <c r="AQ85" s="638" t="s">
        <v>1055</v>
      </c>
      <c r="AR85" s="409">
        <f>+VALUE(RIGHT($G$52,3))</f>
        <v>2</v>
      </c>
      <c r="AS85" s="520" t="s">
        <v>241</v>
      </c>
      <c r="AT85" s="3">
        <f>+IF(OR(W82=0,W82=1),1,W82)</f>
        <v>1</v>
      </c>
      <c r="AW85" s="10" t="e">
        <f>IF(AR85=2,ROUND(VLOOKUP(AR84,許容応力!$B$6:$K$22,7)*1.1/3*100,0),ROUND(VLOOKUP(AR84,許容応力!$B$6:$K$22,7)*1.1/3*1.3*100,0))</f>
        <v>#VALUE!</v>
      </c>
      <c r="AX85" s="63" t="e">
        <f>ROUND(VLOOKUP(AR84,許容応力!$B$6:$K$22,7)*100*2/3*0.8,0)</f>
        <v>#VALUE!</v>
      </c>
      <c r="AY85" s="10" t="e">
        <f>IF(AR85=2,ROUND(VLOOKUP(AR84,許容応力!$B$6:$K$22,8)*1.1/3*100,0),ROUND(VLOOKUP(AR84,許容応力!$B$6:$K$22,8)*1.1/3*1.3*100,0))</f>
        <v>#VALUE!</v>
      </c>
      <c r="AZ85" s="63" t="e">
        <f>ROUND(VLOOKUP(AR84,許容応力!$B$6:$K$22,8)*100*2/3*0.8,0)</f>
        <v>#VALUE!</v>
      </c>
      <c r="BA85" s="10" t="e">
        <f>IF(AR85=2,ROUND(VLOOKUP(AR84,許容応力!$B$6:$K$22,9)*1.1/3*100,0),ROUND(VLOOKUP(AR84,許容応力!$B$6:$K$22,9)*1.1/3*1.3*100,0))</f>
        <v>#VALUE!</v>
      </c>
      <c r="BB85" s="63" t="e">
        <f>ROUND(VLOOKUP(AR84,許容応力!$B$6:$K$22,9)*100*2/3*0.8,0)</f>
        <v>#VALUE!</v>
      </c>
      <c r="BC85" s="63">
        <f>IF(AR85=2,400,200)</f>
        <v>400</v>
      </c>
      <c r="BD85" s="63">
        <f>ROUND(AW81/BC85,2)</f>
        <v>0</v>
      </c>
      <c r="BE85" s="3" t="e">
        <f>ROUND(($AY83+CB83+DA84)/$BK85,1)</f>
        <v>#DIV/0!</v>
      </c>
      <c r="BF85" s="3" t="e">
        <f>ROUND(($CT82)/$BL85,2)</f>
        <v>#VALUE!</v>
      </c>
      <c r="BG85" s="63" t="e">
        <f>ROUND((BC83+CB84+DA85)/AY85,1)</f>
        <v>#DIV/0!</v>
      </c>
      <c r="BH85" s="3" t="e">
        <f>ROUND(($BA83+CB83+DB84)/$BK85,1)</f>
        <v>#DIV/0!</v>
      </c>
      <c r="BI85" s="3" t="e">
        <f>ROUNDDOWN(($CV82)/$BL85,1)</f>
        <v>#VALUE!</v>
      </c>
      <c r="BJ85" s="63" t="e">
        <f>ROUND((BE83+CB84+DB85)/AZ85,1)</f>
        <v>#DIV/0!</v>
      </c>
      <c r="BK85" s="63">
        <f>ROUNDDOWN(M81/10*POWER(O81/10,2)/6*IF(OR(W81=0,W81=1),1,W81),0)</f>
        <v>0</v>
      </c>
      <c r="BL85" s="63">
        <f>ROUNDDOWN(M81/10*POWER(O81/10,3)/12*IF(OR(W81=0,W81=1),1,W81),0)</f>
        <v>0</v>
      </c>
      <c r="BM85" s="63" t="e">
        <f>ROUND(BC83/(BA85*AH81),1)</f>
        <v>#DIV/0!</v>
      </c>
      <c r="BN85" s="63" t="e">
        <f>ROUND(BE83/(BB85*AH81),1)</f>
        <v>#DIV/0!</v>
      </c>
      <c r="CD85" s="805" t="s">
        <v>292</v>
      </c>
      <c r="CE85" s="3" t="e">
        <f>ROUND(M81/10*POWER(CE83,3)/12,0)</f>
        <v>#N/A</v>
      </c>
      <c r="CZ85" s="3" t="s">
        <v>1018</v>
      </c>
      <c r="DA85" s="3">
        <f>+DA82*M86*100/2</f>
        <v>0</v>
      </c>
      <c r="DB85" s="3" t="e">
        <f>+DB82*M86*100/2</f>
        <v>#VALUE!</v>
      </c>
      <c r="DE85" s="3" t="e">
        <f t="shared" ref="DE85:DJ85" si="28">+DE84</f>
        <v>#N/A</v>
      </c>
      <c r="DF85" s="3" t="e">
        <f t="shared" si="28"/>
        <v>#N/A</v>
      </c>
      <c r="DG85" s="3" t="e">
        <f t="shared" si="28"/>
        <v>#N/A</v>
      </c>
      <c r="DH85" s="3" t="e">
        <f t="shared" si="28"/>
        <v>#N/A</v>
      </c>
      <c r="DI85" s="3" t="e">
        <f t="shared" si="28"/>
        <v>#N/A</v>
      </c>
      <c r="DJ85" s="3" t="e">
        <f t="shared" si="28"/>
        <v>#N/A</v>
      </c>
    </row>
    <row r="86" spans="2:117" x14ac:dyDescent="0.15">
      <c r="B86" s="1701"/>
      <c r="C86" s="1410"/>
      <c r="D86" s="1322"/>
      <c r="E86" s="1211"/>
      <c r="F86" s="1028"/>
      <c r="G86" s="1028"/>
      <c r="H86" s="440">
        <f>ROUND((F86+G86)/2,2)</f>
        <v>0</v>
      </c>
      <c r="I86" s="1410"/>
      <c r="J86" s="1028"/>
      <c r="K86" s="476"/>
      <c r="L86" s="1028"/>
      <c r="M86" s="471">
        <f>SUM(J86:L86)</f>
        <v>0</v>
      </c>
      <c r="N86" s="440">
        <f>+M86*100</f>
        <v>0</v>
      </c>
      <c r="O86" s="302"/>
      <c r="P86" s="302"/>
      <c r="Q86" s="302"/>
      <c r="R86" s="302"/>
      <c r="S86" s="302"/>
      <c r="T86" s="302"/>
      <c r="U86" s="302"/>
      <c r="V86" s="302"/>
      <c r="W86" s="302"/>
      <c r="X86" s="302"/>
      <c r="Y86" s="1024">
        <f>IF(X85=0,0,+$Q$169)</f>
        <v>0</v>
      </c>
      <c r="Z86" s="302"/>
      <c r="AA86" s="302"/>
      <c r="AB86" s="302"/>
      <c r="AC86" s="302"/>
      <c r="AD86" s="302"/>
      <c r="AE86" s="302"/>
      <c r="AF86" s="302"/>
      <c r="AG86" s="302"/>
      <c r="AH86" s="302"/>
      <c r="AI86" s="302"/>
      <c r="AJ86" s="302"/>
      <c r="AK86" s="302"/>
      <c r="AL86" s="181"/>
      <c r="AM86" s="302"/>
      <c r="AW86" s="3" t="e">
        <f>+AW85</f>
        <v>#VALUE!</v>
      </c>
      <c r="AX86" s="3" t="e">
        <f t="shared" ref="AX86:BD86" si="29">+AX85</f>
        <v>#VALUE!</v>
      </c>
      <c r="AY86" s="3" t="e">
        <f t="shared" si="29"/>
        <v>#VALUE!</v>
      </c>
      <c r="AZ86" s="3" t="e">
        <f t="shared" si="29"/>
        <v>#VALUE!</v>
      </c>
      <c r="BA86" s="3" t="e">
        <f t="shared" si="29"/>
        <v>#VALUE!</v>
      </c>
      <c r="BB86" s="3" t="e">
        <f t="shared" si="29"/>
        <v>#VALUE!</v>
      </c>
      <c r="BC86" s="3">
        <f t="shared" si="29"/>
        <v>400</v>
      </c>
      <c r="BD86" s="3">
        <f t="shared" si="29"/>
        <v>0</v>
      </c>
      <c r="BE86" s="3" t="e">
        <f>ROUND((CB83+$AY83+DA84)/$BK86,1)</f>
        <v>#N/A</v>
      </c>
      <c r="BF86" s="3" t="e">
        <f>ROUND(($CT83)/$BL86,2)</f>
        <v>#VALUE!</v>
      </c>
      <c r="BG86" s="63" t="e">
        <f>ROUND((BC83+CB84+DA85)/AY85,1)</f>
        <v>#DIV/0!</v>
      </c>
      <c r="BH86" s="3" t="e">
        <f>ROUND(($BA83+CB83+DB84)/$BK86,1)</f>
        <v>#DIV/0!</v>
      </c>
      <c r="BI86" s="3" t="e">
        <f>ROUND(($CV83)/$BL86,2)</f>
        <v>#VALUE!</v>
      </c>
      <c r="BJ86" s="63" t="e">
        <f>ROUND((BE83+CB84+DB85)/AZ85,1)</f>
        <v>#DIV/0!</v>
      </c>
      <c r="BK86" s="63">
        <f>IF(O82&lt;180,ROUND((O82/10-3)*POWER(O82/10-3,2)/6*IF(EX82=0,1,W82),0),ROUND((O82/10-5)*POWER((O82/10-3),2)/6*IF(W82=0,1,W82),0))</f>
        <v>-5</v>
      </c>
      <c r="BL86" s="63">
        <f>ROUND(IF(O82&lt;180,(O82/10-3)*POWER((O82/10-3),3)/12*IF(W82=0,1,W82),(O82/10-5))*POWER((O82/10-3),3)/12*IF(W82=0,1,W82),0)</f>
        <v>-15</v>
      </c>
      <c r="BM86" s="63" t="e">
        <f>+BM85</f>
        <v>#DIV/0!</v>
      </c>
      <c r="BN86" s="63" t="e">
        <f>+BN85</f>
        <v>#DIV/0!</v>
      </c>
    </row>
    <row r="87" spans="2:117" ht="15" thickBot="1" x14ac:dyDescent="0.2">
      <c r="B87" s="1381"/>
      <c r="C87" s="1411" t="s">
        <v>1002</v>
      </c>
      <c r="D87" s="1412"/>
      <c r="E87" s="1150"/>
      <c r="F87" s="472" t="s">
        <v>1003</v>
      </c>
      <c r="G87" s="1136"/>
      <c r="H87" s="459" t="s">
        <v>1004</v>
      </c>
      <c r="I87" s="460"/>
      <c r="J87" s="466"/>
      <c r="K87" s="473"/>
      <c r="L87" s="473"/>
      <c r="M87" s="473"/>
      <c r="N87" s="473"/>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175"/>
      <c r="AM87" s="302"/>
    </row>
    <row r="88" spans="2:117" ht="15" thickBot="1" x14ac:dyDescent="0.2">
      <c r="B88" s="1344" t="s">
        <v>1073</v>
      </c>
      <c r="C88" s="669"/>
      <c r="D88" s="665"/>
      <c r="E88" s="672"/>
      <c r="F88" s="670"/>
      <c r="G88" s="666" t="s">
        <v>1061</v>
      </c>
      <c r="H88" s="666" t="s">
        <v>1063</v>
      </c>
      <c r="I88" s="799" t="s">
        <v>965</v>
      </c>
      <c r="J88" s="799" t="s">
        <v>1022</v>
      </c>
      <c r="K88" s="799" t="s">
        <v>966</v>
      </c>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181"/>
      <c r="AM88" s="302"/>
      <c r="CA88" s="3">
        <v>1</v>
      </c>
      <c r="CB88" s="3">
        <v>2</v>
      </c>
      <c r="CC88" s="3">
        <v>3</v>
      </c>
      <c r="CD88" s="3">
        <v>4</v>
      </c>
      <c r="CE88" s="3">
        <v>5</v>
      </c>
      <c r="CF88" s="3">
        <v>6</v>
      </c>
      <c r="DK88" s="3" t="s">
        <v>1223</v>
      </c>
      <c r="DL88" s="3" t="s">
        <v>1224</v>
      </c>
    </row>
    <row r="89" spans="2:117" ht="14.25" customHeight="1" x14ac:dyDescent="0.15">
      <c r="B89" s="1701"/>
      <c r="C89" s="1688"/>
      <c r="D89" s="438"/>
      <c r="E89" s="1687"/>
      <c r="F89" s="1668" t="str">
        <f>IF(E89=0,"",ROUND(SQRT(COS(AV89*1.5*PI()/180)),3))</f>
        <v/>
      </c>
      <c r="G89" s="674"/>
      <c r="H89" s="674"/>
      <c r="I89" s="802"/>
      <c r="J89" s="802"/>
      <c r="K89" s="801"/>
      <c r="L89" s="1657"/>
      <c r="M89" s="1654"/>
      <c r="N89" s="1200">
        <f>+IF(M89=0,0,"×")</f>
        <v>0</v>
      </c>
      <c r="O89" s="1295">
        <f>IF(M89=0,0,CN90)</f>
        <v>0</v>
      </c>
      <c r="P89" s="1296" t="str">
        <f>IF(X89=+"","",IF(AND(X89&lt;=1,Y89&lt;=1,AA89&lt;=1,AB89&lt;=1),"OK!","NO!"))</f>
        <v/>
      </c>
      <c r="Q89" s="1296">
        <f>IF(U89=0,0,IF(AND(Z89=0,AC89=0),0,IF(IF(Z89&gt;=AC89,Z89,AC89)&lt;=1,"OK!","NO!")))</f>
        <v>0</v>
      </c>
      <c r="R89" s="1659"/>
      <c r="S89" s="1269"/>
      <c r="T89" s="1271">
        <f>IF(S89=0,0,BU89)</f>
        <v>0</v>
      </c>
      <c r="U89" s="1253">
        <f>IF(AND(T93=0,S89=0),0,+IF(AND(VALUE(RIGHT(R89,4))=2,T93&gt;0),0,IF(AND(VALUE(RIGHT(R89,4))=1,S89&gt;0),0,DM89)))</f>
        <v>0</v>
      </c>
      <c r="V89" s="1257">
        <f>IF(S89=0,0,IF(BG93&gt;=BJ93,BG93,BJ93))</f>
        <v>0</v>
      </c>
      <c r="W89" s="1652"/>
      <c r="X89" s="1257" t="str">
        <f>IF(O89=0,"",ROUNDUP($BE93/$AW93,2))</f>
        <v/>
      </c>
      <c r="Y89" s="1257" t="str">
        <f>IF(O89=0,"",ROUND($BF93/$BD93,2))</f>
        <v/>
      </c>
      <c r="Z89" s="1257">
        <f>IF(L89=0,0,IF(AND(S89=0,Z93=0),0,IF(S89=0,ROUNDUP(BC91/(AY93*$R$181*$AR$10*Z93/100),2),+BV89)))</f>
        <v>0</v>
      </c>
      <c r="AA89" s="1257" t="str">
        <f>IF(O89=0,"",ROUNDUP($BH93/$AX93,2))</f>
        <v/>
      </c>
      <c r="AB89" s="1257" t="str">
        <f>IF(O89=0,"",ROUNDUP($BI93/$BD93,2))</f>
        <v/>
      </c>
      <c r="AC89" s="1257">
        <f>IF(L89=0,0,IF(AND(S89=0,X93=0),0,IF(S89=0,ROUNDUP(BE91/(AZ93*$R$181*$AR$10*Z93/100),2),+BW89)))</f>
        <v>0</v>
      </c>
      <c r="AD89" s="162"/>
      <c r="AE89" s="447"/>
      <c r="AF89" s="430"/>
      <c r="AG89" s="428"/>
      <c r="AH89" s="1253">
        <f>IF(AD89=0,0,ROUND(AD89*AE89+AF89*AG89+AD90*AE90+AF90*AG90,2))</f>
        <v>0</v>
      </c>
      <c r="AI89" s="1253">
        <f>IF(AD89=0,0,IF(AN89=1,AM89/($AR$10*Z93),+AM89))</f>
        <v>0</v>
      </c>
      <c r="AJ89" s="1255" t="str">
        <f>IF(AI89=0,"",IF(AI89&lt;=1,"OK!","NO!"))</f>
        <v/>
      </c>
      <c r="AK89" s="182">
        <f>+IF(J94=0,0,"1/")</f>
        <v>0</v>
      </c>
      <c r="AL89" s="183">
        <f>IF(J94=0,0,+BC93)</f>
        <v>0</v>
      </c>
      <c r="AM89" s="3" t="e">
        <f>+IF(BM93&gt;=BN93,BM93+DK90,BN93+DL90)</f>
        <v>#DIV/0!</v>
      </c>
      <c r="AN89" s="3">
        <f>IF(R93=0,0,+VALUE(RIGHT(R93,4)))</f>
        <v>0</v>
      </c>
      <c r="AQ89" s="479" t="s">
        <v>877</v>
      </c>
      <c r="AR89" s="632">
        <f>+準備!G57+AT89</f>
        <v>850</v>
      </c>
      <c r="AS89" s="632" t="e">
        <f>+準備!G57+AU89</f>
        <v>#VALUE!</v>
      </c>
      <c r="AT89" s="63">
        <f>ROUNDUP(IF(VALUE(RIGHT($G$52,3))=1,AU89*0.7,0),0)</f>
        <v>0</v>
      </c>
      <c r="AU89" s="63" t="e">
        <f>ROUNDUP(IF(VALUE(RIGHT($G$52,4))=1,$M$52*30*F89*100,$M$52*20*F89*100),0)</f>
        <v>#VALUE!</v>
      </c>
      <c r="AV89" s="69">
        <f>ROUND(ATAN(E89/10)*180/PI(),4)</f>
        <v>0</v>
      </c>
      <c r="AW89" s="3">
        <f>+N94</f>
        <v>0</v>
      </c>
      <c r="AX89" s="3" t="s">
        <v>1033</v>
      </c>
      <c r="AY89" s="3" t="e">
        <f>ROUND($AU90*$AU91/$AW89*$AR90,1)</f>
        <v>#DIV/0!</v>
      </c>
      <c r="AZ89" s="641">
        <f>+AU91</f>
        <v>0</v>
      </c>
      <c r="BA89" s="640">
        <f>+AW90</f>
        <v>0</v>
      </c>
      <c r="BB89" s="3" t="e">
        <f>ROUND($AY89*$BA89/$AZ89+$AY90,0)</f>
        <v>#DIV/0!</v>
      </c>
      <c r="BC89" s="3" t="s">
        <v>1035</v>
      </c>
      <c r="BD89" s="3" t="e">
        <f>ROUND($AU90*$AU91/$AW89*$AS90,1)</f>
        <v>#DIV/0!</v>
      </c>
      <c r="BE89" s="3" t="e">
        <f>ROUND($BD89*$BA89/$AZ89+$BD90,0)</f>
        <v>#DIV/0!</v>
      </c>
      <c r="BF89" s="3" t="s">
        <v>1039</v>
      </c>
      <c r="BG89" s="3" t="e">
        <f>ROUND($AU91/$AW89*$AR90,0)</f>
        <v>#DIV/0!</v>
      </c>
      <c r="BH89" s="3" t="e">
        <f>ROUND($AU90/$AW89*$AR90,0)</f>
        <v>#DIV/0!</v>
      </c>
      <c r="BI89" s="3" t="s">
        <v>1043</v>
      </c>
      <c r="BJ89" s="3" t="e">
        <f>ROUND($AU91/$AW89*$AS90,0)</f>
        <v>#DIV/0!</v>
      </c>
      <c r="BK89" s="3" t="e">
        <f>ROUND($AU90/$AW89*$AS90,0)</f>
        <v>#DIV/0!</v>
      </c>
      <c r="BL89" s="3" t="s">
        <v>1057</v>
      </c>
      <c r="BM89" s="3">
        <f>ROUND(POWER($AW89,2)-POWER($AU91,2),0)</f>
        <v>0</v>
      </c>
      <c r="BN89" s="3">
        <f>ROUND(POWER($AW89,2)-POWER($AW91,2),0)</f>
        <v>0</v>
      </c>
      <c r="BO89" s="3">
        <f>+SQRT(POWER(BM89,3))</f>
        <v>0</v>
      </c>
      <c r="BP89" s="3">
        <f>+SQRT(POWER(BN89,3))</f>
        <v>0</v>
      </c>
      <c r="BQ89" s="63" t="e">
        <f>ROUNDUP($AR90*$AU91*$BO89/(9*SQRT(3)*$AT92*$AW89),2)</f>
        <v>#VALUE!</v>
      </c>
      <c r="BR89" s="63" t="e">
        <f>ROUNDUP($AR91*$AW91*$BP89/(9*SQRT(3)*$AT92*$AW89),2)</f>
        <v>#VALUE!</v>
      </c>
      <c r="BS89" s="63" t="e">
        <f>ROUNDUP($AS90*$AU91*$BO89/(9*SQRT(3)*$AT92*$AW89),2)</f>
        <v>#VALUE!</v>
      </c>
      <c r="BT89" s="63" t="e">
        <f>ROUNDUP($AS91*$AW91*$BP89/(9*SQRT(3)*$AT92*$AW89),2)</f>
        <v>#VALUE!</v>
      </c>
      <c r="BU89" s="9">
        <f>IF(O89=0,0,ROUNDUP(SQRT((V89*M89/10*O89/10)/(S89*S89)),2))</f>
        <v>0</v>
      </c>
      <c r="BV89" s="3" t="e">
        <f>ROUND((+BC91+CB92+DA93)/(AY93*U89),2)</f>
        <v>#DIV/0!</v>
      </c>
      <c r="BW89" s="3" t="e">
        <f>ROUND((+BE91+CB92+DB93)/(AZ93*U89),2)</f>
        <v>#DIV/0!</v>
      </c>
      <c r="BX89" s="393"/>
      <c r="BY89" s="805" t="s">
        <v>269</v>
      </c>
      <c r="BZ89" s="805" t="s">
        <v>269</v>
      </c>
      <c r="CA89" s="632">
        <f>+準備!$G$20/100</f>
        <v>4.5</v>
      </c>
      <c r="CB89" s="632">
        <f>+準備!$G$24/100</f>
        <v>11</v>
      </c>
      <c r="CC89" s="632">
        <f>+準備!$G$28/100</f>
        <v>14</v>
      </c>
      <c r="CD89" s="632">
        <f>+準備!$G$32/100</f>
        <v>17.5</v>
      </c>
      <c r="CE89" s="632">
        <f>+準備!$G$36/100</f>
        <v>17.5</v>
      </c>
      <c r="CF89" s="632">
        <f>+準備!$G$38/100</f>
        <v>4</v>
      </c>
      <c r="CN89" s="3" t="s">
        <v>998</v>
      </c>
      <c r="CO89" s="3" t="s">
        <v>995</v>
      </c>
      <c r="CP89" s="3" t="s">
        <v>189</v>
      </c>
      <c r="CQ89" s="3" t="s">
        <v>996</v>
      </c>
      <c r="CR89" s="3" t="s">
        <v>189</v>
      </c>
      <c r="CS89" s="3" t="s">
        <v>1059</v>
      </c>
      <c r="CT89" s="3" t="s">
        <v>189</v>
      </c>
      <c r="CU89" s="3" t="s">
        <v>996</v>
      </c>
      <c r="CV89" s="2" t="s">
        <v>189</v>
      </c>
      <c r="CW89" s="548" t="s">
        <v>995</v>
      </c>
      <c r="CX89" s="548" t="s">
        <v>189</v>
      </c>
      <c r="CY89" s="548" t="s">
        <v>996</v>
      </c>
      <c r="CZ89" s="548" t="s">
        <v>189</v>
      </c>
      <c r="DA89" s="805" t="s">
        <v>269</v>
      </c>
      <c r="DB89" s="805" t="s">
        <v>269</v>
      </c>
      <c r="DC89" s="3" t="s">
        <v>189</v>
      </c>
      <c r="DE89" s="3" t="e">
        <f>ROUND(($CB91+DA92)/$CE92,1)</f>
        <v>#N/A</v>
      </c>
      <c r="DF89" s="3" t="e">
        <f>ROUND(($CC92+DC91)/$CE93,2)</f>
        <v>#N/A</v>
      </c>
      <c r="DG89" s="3" t="e">
        <f>ROUND(($CB92+$DA93)/$U89,1)</f>
        <v>#N/A</v>
      </c>
      <c r="DH89" s="3" t="e">
        <f>ROUND(($CB91+DB92)/$CE92,1)</f>
        <v>#N/A</v>
      </c>
      <c r="DI89" s="3" t="e">
        <f>ROUND(($CC92+DD91)/$CE93,2)</f>
        <v>#N/A</v>
      </c>
      <c r="DJ89" s="3" t="e">
        <f>ROUND(($CB92+DB93)/$U89,1)</f>
        <v>#N/A</v>
      </c>
      <c r="DK89" s="3" t="e">
        <f>ROUND(VLOOKUP(VALUE(RIGHT($L89,4)),許容応力!$B$6:$K$22,9)*1.1/3*100,0)</f>
        <v>#VALUE!</v>
      </c>
      <c r="DL89" s="3" t="e">
        <f>ROUND(VLOOKUP(VALUE(RIGHT($L89,4)),許容応力!$B$6:$K$22,9)*2/3*0.8*100,0)</f>
        <v>#VALUE!</v>
      </c>
      <c r="DM89" s="1253">
        <f>IF(AND(S89=0,W93=0),0,IF(T89=0,R$181*AR10*Z93/100,ROUND(POWER(S89*T89,2)/(M89/10*O89/10),2)))</f>
        <v>0</v>
      </c>
    </row>
    <row r="90" spans="2:117" x14ac:dyDescent="0.15">
      <c r="B90" s="1701"/>
      <c r="C90" s="1676"/>
      <c r="D90" s="439"/>
      <c r="E90" s="1677"/>
      <c r="F90" s="1555"/>
      <c r="G90" s="440" t="s">
        <v>1064</v>
      </c>
      <c r="H90" s="440" t="s">
        <v>1062</v>
      </c>
      <c r="I90" s="801"/>
      <c r="J90" s="801"/>
      <c r="K90" s="801"/>
      <c r="L90" s="1658"/>
      <c r="M90" s="1653"/>
      <c r="N90" s="1258"/>
      <c r="O90" s="1258"/>
      <c r="P90" s="1258"/>
      <c r="Q90" s="1392"/>
      <c r="R90" s="1660"/>
      <c r="S90" s="1507"/>
      <c r="T90" s="1254"/>
      <c r="U90" s="1272"/>
      <c r="V90" s="1254"/>
      <c r="W90" s="1653"/>
      <c r="X90" s="1258"/>
      <c r="Y90" s="1258"/>
      <c r="Z90" s="1254"/>
      <c r="AA90" s="1258"/>
      <c r="AB90" s="1258"/>
      <c r="AC90" s="1254"/>
      <c r="AD90" s="160"/>
      <c r="AE90" s="432"/>
      <c r="AF90" s="433"/>
      <c r="AG90" s="434"/>
      <c r="AH90" s="1254"/>
      <c r="AI90" s="1254"/>
      <c r="AJ90" s="1673"/>
      <c r="AK90" s="184">
        <f>+IF(G94=0,0,"1/")</f>
        <v>0</v>
      </c>
      <c r="AL90" s="185">
        <f>IF(J94=0,0,+BC94)</f>
        <v>0</v>
      </c>
      <c r="AM90" s="597"/>
      <c r="AN90" s="407"/>
      <c r="AQ90" s="638" t="s">
        <v>1023</v>
      </c>
      <c r="AR90" s="3">
        <f>ROUND(AR89*(G89+H89)/2*(I89+J89)/2,0)</f>
        <v>0</v>
      </c>
      <c r="AS90" s="3" t="e">
        <f>ROUND(AS89*(G89+H89)/2*(I89+J89)/2,0)</f>
        <v>#VALUE!</v>
      </c>
      <c r="AT90" s="3" t="s">
        <v>1029</v>
      </c>
      <c r="AU90" s="640">
        <f>+J94*100</f>
        <v>0</v>
      </c>
      <c r="AV90" s="3" t="s">
        <v>1031</v>
      </c>
      <c r="AW90" s="640">
        <f>+L94*100</f>
        <v>0</v>
      </c>
      <c r="AX90" s="3" t="s">
        <v>1034</v>
      </c>
      <c r="AY90" s="3" t="e">
        <f>ROUND($AW90*$AW91/$AW89*$AR91,1)</f>
        <v>#DIV/0!</v>
      </c>
      <c r="AZ90" s="641">
        <f>+AW91</f>
        <v>0</v>
      </c>
      <c r="BA90" s="640">
        <f>+AU90</f>
        <v>0</v>
      </c>
      <c r="BB90" s="3" t="e">
        <f>ROUND($AY90*$BA90/$AZ90+$AY89,0)</f>
        <v>#DIV/0!</v>
      </c>
      <c r="BC90" s="3" t="s">
        <v>1036</v>
      </c>
      <c r="BD90" s="3" t="e">
        <f>ROUND($AW90*$AW91/$AW89*$AS91,1)</f>
        <v>#DIV/0!</v>
      </c>
      <c r="BE90" s="3" t="e">
        <f>ROUND($BD90*$BA90/$AZ90+$BD89,0)</f>
        <v>#DIV/0!</v>
      </c>
      <c r="BF90" s="3" t="s">
        <v>1040</v>
      </c>
      <c r="BG90" s="3" t="e">
        <f>ROUND($AW90/$AW89*$AR91,0)</f>
        <v>#DIV/0!</v>
      </c>
      <c r="BH90" s="3" t="e">
        <f>ROUND($AW91/$AW89*$AR91,0)</f>
        <v>#DIV/0!</v>
      </c>
      <c r="BI90" s="3" t="s">
        <v>1044</v>
      </c>
      <c r="BJ90" s="3" t="e">
        <f>ROUND($AW90/$AW89*$AS91,0)</f>
        <v>#DIV/0!</v>
      </c>
      <c r="BK90" s="3" t="e">
        <f>ROUND($AW91/$AW89*$AS91,0)</f>
        <v>#DIV/0!</v>
      </c>
      <c r="BM90" s="3">
        <f>ROUND(POWER($AW89,2)-POWER($AW90,2),0)</f>
        <v>0</v>
      </c>
      <c r="BN90" s="3">
        <f>ROUND(POWER($AW89,2)-POWER($AW91,2),0)</f>
        <v>0</v>
      </c>
      <c r="BO90" s="3">
        <f>+SQRT(POWER(BM90,3))</f>
        <v>0</v>
      </c>
      <c r="BP90" s="3">
        <f>+SQRT(POWER(BN90,3))</f>
        <v>0</v>
      </c>
      <c r="BQ90" s="63" t="e">
        <f>ROUNDUP($BR89*$AU90/$AW91,2)</f>
        <v>#VALUE!</v>
      </c>
      <c r="BR90" s="63" t="e">
        <f>ROUNDUP($BQ89*$AW90/$AU91,2)</f>
        <v>#VALUE!</v>
      </c>
      <c r="BS90" s="63" t="e">
        <f>ROUNDUP($BT89*$AU90/$AW91,2)</f>
        <v>#VALUE!</v>
      </c>
      <c r="BT90" s="63" t="e">
        <f>ROUNDUP($BS89*$AW90/$AU91,2)</f>
        <v>#VALUE!</v>
      </c>
      <c r="BU90" s="9">
        <f>IF(O90=0,0,ROUNDUP(SQRT(IF(R90=0,(V90*(O90/10-6)*(O90/10-3)),(V90*(R90/10-6)*(R90/10-3)))/(S90*S90)),2))</f>
        <v>0</v>
      </c>
      <c r="BV90" s="3" t="e">
        <f>ROUND((+BC91+CB92+DA93)/(AY94*S90*T90),2)</f>
        <v>#DIV/0!</v>
      </c>
      <c r="BW90" s="3" t="e">
        <f>ROUND((+BE91+CB92+DB93)/(AZ94*S90*T90),2)</f>
        <v>#DIV/0!</v>
      </c>
      <c r="BX90" s="78"/>
      <c r="BY90" s="87" t="e">
        <f>IF(OR(BV91=0,BV91=1),0,ROUNDUP((準備!$G$60/100+準備!$D$48/100)*((F94+G94)/2*100)/200,2))</f>
        <v>#N/A</v>
      </c>
      <c r="BZ90" s="87" t="e">
        <f>+BY90</f>
        <v>#N/A</v>
      </c>
      <c r="CA90" s="3">
        <f t="shared" ref="CA90:CF90" si="30">ROUND(CA89*$I95,2)</f>
        <v>0</v>
      </c>
      <c r="CB90" s="3">
        <f t="shared" si="30"/>
        <v>0</v>
      </c>
      <c r="CC90" s="3">
        <f t="shared" si="30"/>
        <v>0</v>
      </c>
      <c r="CD90" s="3">
        <f t="shared" si="30"/>
        <v>0</v>
      </c>
      <c r="CE90" s="3">
        <f t="shared" si="30"/>
        <v>0</v>
      </c>
      <c r="CF90" s="3">
        <f t="shared" si="30"/>
        <v>0</v>
      </c>
      <c r="CJ90" s="63" t="e">
        <f>+ROUNDUP(CO90/3,-1)*3</f>
        <v>#DIV/0!</v>
      </c>
      <c r="CK90" s="63" t="e">
        <f>+ROUNDUP(CP90/3,-1)*3</f>
        <v>#VALUE!</v>
      </c>
      <c r="CL90" s="63" t="e">
        <f>+ROUNDUP(CQ90/3,-1)*3</f>
        <v>#DIV/0!</v>
      </c>
      <c r="CM90" s="63" t="e">
        <f>+ROUNDUP(CR90/3,-1)*3</f>
        <v>#VALUE!</v>
      </c>
      <c r="CN90" s="649" t="e">
        <f>MAX(CJ90:CM90)</f>
        <v>#DIV/0!</v>
      </c>
      <c r="CO90" s="63" t="e">
        <f>ROUNDUP(SQRT(ROUND($CS90/$AW93*6/($M89/10)/IF($W89=0,1,$W89),1))*10,0)</f>
        <v>#DIV/0!</v>
      </c>
      <c r="CP90" s="3" t="e">
        <f>POWER(ROUNDDOWN($CT90/($M89/10)*12,0)/IF($W89=0,1,$W89)/$BD93,1/3)*10</f>
        <v>#VALUE!</v>
      </c>
      <c r="CQ90" s="63" t="e">
        <f>ROUNDUP(SQRT(ROUND($CU90/$AX93*6/($M89/10)/IF($W89=0,1,$W89),1))*10,0)</f>
        <v>#DIV/0!</v>
      </c>
      <c r="CR90" s="3" t="e">
        <f>POWER(ROUNDDOWN($CV90/($M89/10)*12,0)/IF($W89=0,1,$W89)/$BD93,1/3)*10</f>
        <v>#VALUE!</v>
      </c>
      <c r="CS90" s="63" t="e">
        <f>+AY91+CB91+DA92</f>
        <v>#DIV/0!</v>
      </c>
      <c r="CT90" s="63" t="e">
        <f>+IF(BQ91&gt;=BR91,BQ91+CC92+DC91,BR91+CC92+DC91)</f>
        <v>#VALUE!</v>
      </c>
      <c r="CU90" s="63" t="e">
        <f>+BA91+CB91+DB92</f>
        <v>#DIV/0!</v>
      </c>
      <c r="CV90" s="78" t="e">
        <f>+IF(BS91&gt;=BT91,BS91+CC92+DD91,BT91+CC92+DD91)</f>
        <v>#VALUE!</v>
      </c>
      <c r="CW90" s="548" t="e">
        <f>+CO90</f>
        <v>#DIV/0!</v>
      </c>
      <c r="CX90" s="548" t="e">
        <f>+CP90</f>
        <v>#VALUE!</v>
      </c>
      <c r="CY90" s="548" t="e">
        <f>CQ90</f>
        <v>#DIV/0!</v>
      </c>
      <c r="CZ90" s="548" t="e">
        <f>+CR90</f>
        <v>#VALUE!</v>
      </c>
      <c r="DA90" s="87">
        <f>IF(OR($BV91=0,$BV91=1),0,ROUND((準備!$G$6+$AT89)*$G94/200,2))</f>
        <v>0</v>
      </c>
      <c r="DB90" s="87" t="e">
        <f>IF(OR($BV91=0,$BV91=1),0,ROUND((準備!$G$6+$AU89)*$G94/200,2))</f>
        <v>#VALUE!</v>
      </c>
      <c r="DC90" s="3" t="s">
        <v>168</v>
      </c>
      <c r="DD90" s="3" t="s">
        <v>203</v>
      </c>
      <c r="DE90" s="3" t="e">
        <f t="shared" ref="DE90:DJ90" si="31">+DE89</f>
        <v>#N/A</v>
      </c>
      <c r="DF90" s="3" t="e">
        <f t="shared" si="31"/>
        <v>#N/A</v>
      </c>
      <c r="DG90" s="3" t="e">
        <f t="shared" si="31"/>
        <v>#N/A</v>
      </c>
      <c r="DH90" s="3" t="e">
        <f t="shared" si="31"/>
        <v>#N/A</v>
      </c>
      <c r="DI90" s="3" t="e">
        <f t="shared" si="31"/>
        <v>#N/A</v>
      </c>
      <c r="DJ90" s="3" t="e">
        <f t="shared" si="31"/>
        <v>#N/A</v>
      </c>
      <c r="DK90" s="3" t="e">
        <f>ROUND(DA90*M94*100/2/DK89/AH89,2)</f>
        <v>#VALUE!</v>
      </c>
      <c r="DL90" s="3" t="e">
        <f>ROUND(DB90*M94*100/2/DL89/AH89,2)</f>
        <v>#VALUE!</v>
      </c>
      <c r="DM90" s="1254"/>
    </row>
    <row r="91" spans="2:117" x14ac:dyDescent="0.15">
      <c r="B91" s="1701"/>
      <c r="C91" s="1270"/>
      <c r="D91" s="194"/>
      <c r="E91" s="1270"/>
      <c r="F91" s="1254"/>
      <c r="G91" s="475"/>
      <c r="H91" s="475"/>
      <c r="I91" s="801"/>
      <c r="J91" s="801">
        <f>+J89</f>
        <v>0</v>
      </c>
      <c r="K91" s="802"/>
      <c r="L91" s="302"/>
      <c r="M91" s="451"/>
      <c r="N91" s="451"/>
      <c r="O91" s="451"/>
      <c r="P91" s="451"/>
      <c r="Q91" s="451"/>
      <c r="R91" s="451"/>
      <c r="S91" s="878"/>
      <c r="T91" s="1307" t="s">
        <v>1154</v>
      </c>
      <c r="U91" s="1308"/>
      <c r="V91" s="1308"/>
      <c r="W91" s="1308"/>
      <c r="X91" s="1308"/>
      <c r="Y91" s="1308"/>
      <c r="Z91" s="1621"/>
      <c r="AA91" s="451"/>
      <c r="AB91" s="451"/>
      <c r="AC91" s="451"/>
      <c r="AD91" s="451"/>
      <c r="AE91" s="451"/>
      <c r="AF91" s="176"/>
      <c r="AG91" s="176"/>
      <c r="AH91" s="176"/>
      <c r="AI91" s="176"/>
      <c r="AJ91" s="176"/>
      <c r="AK91" s="176"/>
      <c r="AL91" s="469"/>
      <c r="AM91" s="302"/>
      <c r="AQ91" s="638" t="s">
        <v>1024</v>
      </c>
      <c r="AR91" s="3">
        <f>ROUND(AR89*(G91+H91)/2*(K91+J91)/2,0)</f>
        <v>0</v>
      </c>
      <c r="AS91" s="3" t="e">
        <f>ROUND(AS89*(G91+H91)/2*(K91+J91)/2,0)</f>
        <v>#VALUE!</v>
      </c>
      <c r="AT91" s="3" t="s">
        <v>1030</v>
      </c>
      <c r="AU91" s="641">
        <f>(+K94+L94)*100</f>
        <v>0</v>
      </c>
      <c r="AV91" s="3" t="s">
        <v>1032</v>
      </c>
      <c r="AW91" s="641">
        <f>(+J94+K94)*100</f>
        <v>0</v>
      </c>
      <c r="AX91" s="3" t="s">
        <v>1037</v>
      </c>
      <c r="AY91" s="548" t="e">
        <f>+IF(BB89&gt;=BB90,BB89,BB90)</f>
        <v>#DIV/0!</v>
      </c>
      <c r="AZ91" s="3" t="s">
        <v>1038</v>
      </c>
      <c r="BA91" s="548" t="e">
        <f>+IF(BE89&gt;=BE90,BE89,BE90)</f>
        <v>#DIV/0!</v>
      </c>
      <c r="BB91" s="3" t="s">
        <v>1041</v>
      </c>
      <c r="BC91" s="548" t="e">
        <f>+IF(BG91&gt;=BH91,BG91,BH91)</f>
        <v>#DIV/0!</v>
      </c>
      <c r="BD91" s="3" t="s">
        <v>1042</v>
      </c>
      <c r="BE91" s="548" t="e">
        <f>+IF(BJ91&gt;=BK91,BJ91,BK91)</f>
        <v>#DIV/0!</v>
      </c>
      <c r="BG91" s="3" t="e">
        <f>SUM(BG89:BG90)</f>
        <v>#DIV/0!</v>
      </c>
      <c r="BH91" s="3" t="e">
        <f>SUM(BH89:BH90)</f>
        <v>#DIV/0!</v>
      </c>
      <c r="BJ91" s="3" t="e">
        <f>SUM(BJ89:BJ90)</f>
        <v>#DIV/0!</v>
      </c>
      <c r="BK91" s="3" t="e">
        <f>SUM(BK89:BK90)</f>
        <v>#DIV/0!</v>
      </c>
      <c r="BM91" s="3">
        <f t="shared" ref="BM91:BT91" si="32">SUM(BM89:BM90)</f>
        <v>0</v>
      </c>
      <c r="BN91" s="3">
        <f t="shared" si="32"/>
        <v>0</v>
      </c>
      <c r="BO91" s="3">
        <f t="shared" si="32"/>
        <v>0</v>
      </c>
      <c r="BP91" s="3">
        <f t="shared" si="32"/>
        <v>0</v>
      </c>
      <c r="BQ91" s="3" t="e">
        <f t="shared" si="32"/>
        <v>#VALUE!</v>
      </c>
      <c r="BR91" s="3" t="e">
        <f t="shared" si="32"/>
        <v>#VALUE!</v>
      </c>
      <c r="BS91" s="3" t="e">
        <f t="shared" si="32"/>
        <v>#VALUE!</v>
      </c>
      <c r="BT91" s="3" t="e">
        <f t="shared" si="32"/>
        <v>#VALUE!</v>
      </c>
      <c r="BU91" s="3" t="s">
        <v>1012</v>
      </c>
      <c r="BV91" s="3">
        <f>IF(D92=0,0,+VALUE(RIGHT(D92,4)))</f>
        <v>2</v>
      </c>
      <c r="BW91" s="3" t="s">
        <v>1003</v>
      </c>
      <c r="BX91" s="3" t="e">
        <f>+VALUE(RIGHT(G95,4))</f>
        <v>#VALUE!</v>
      </c>
      <c r="BY91" s="3">
        <f>IF(OR(BV92=0,BV92=2),0,HLOOKUP(BX91,CA88:CF90,3))</f>
        <v>0</v>
      </c>
      <c r="BZ91" s="3">
        <f>+BY91</f>
        <v>0</v>
      </c>
      <c r="CA91" s="3" t="s">
        <v>1019</v>
      </c>
      <c r="CB91" s="3" t="e">
        <f>BY92*POWER(AW89,2)/8</f>
        <v>#N/A</v>
      </c>
      <c r="CC91" s="3" t="s">
        <v>189</v>
      </c>
      <c r="CD91" s="3" t="s">
        <v>782</v>
      </c>
      <c r="CE91" s="3" t="e">
        <f>ROUNDUP(+SQRT((CB91+DA92)*6/(AW93*M89/10)),0)</f>
        <v>#N/A</v>
      </c>
      <c r="CJ91" s="63" t="e">
        <f>IF(W90=0.8,VLOOKUP(CW91,$AR$398:$AS$443,2),IF(W90=0.9,VLOOKUP(CW91,$AR$351:$AS$396,2),VLOOKUP(CW91,$AR$304:$AS$349,2)))</f>
        <v>#DIV/0!</v>
      </c>
      <c r="CK91" s="63" t="e">
        <f>IF(W90=0.8,VLOOKUP(CX91,$AT$398:$AU$443,2),IF(W90=0.9,VLOOKUP(CX91,$AT$351:$AU$396,2),VLOOKUP(CX91,$AT$304:$AU$349,2)))</f>
        <v>#VALUE!</v>
      </c>
      <c r="CL91" s="63" t="e">
        <f>IF(W90=0.8,VLOOKUP(CY91,$AR$398:$AS$443,2),IF(W90=0.9,VLOOKUP(CY91,$AR$351:$AS$396,2),VLOOKUP(CY91,$AR$304:$AS$349,2)))</f>
        <v>#DIV/0!</v>
      </c>
      <c r="CM91" s="63" t="e">
        <f>IF(W90=0.8,VLOOKUP(CZ91,$AT$398:$AU$443,2),IF(W90=0.9,VLOOKUP(CZ91,$AT$351:$AU$397,2),VLOOKUP(CZ91,$AT$304:$AU$349,2)))</f>
        <v>#VALUE!</v>
      </c>
      <c r="CN91" s="649" t="e">
        <f>MAX(CJ91:CM91)</f>
        <v>#DIV/0!</v>
      </c>
      <c r="CO91" s="63" t="e">
        <f>ROUNDUP(CS91/$AW93/IF(W90=0,1,W90),1)</f>
        <v>#DIV/0!</v>
      </c>
      <c r="CP91" s="63" t="e">
        <f>ROUNDUP($CT91/($BD93*AT93),2)</f>
        <v>#VALUE!</v>
      </c>
      <c r="CQ91" s="63" t="e">
        <f>ROUNDUP(CU91/$AX93/IF(W90=0,1,W90),1)</f>
        <v>#DIV/0!</v>
      </c>
      <c r="CR91" s="63" t="e">
        <f>ROUNDUP($CV91/($BD93*AT93),2)</f>
        <v>#VALUE!</v>
      </c>
      <c r="CS91" s="63" t="e">
        <f>+CS90</f>
        <v>#DIV/0!</v>
      </c>
      <c r="CT91" s="3" t="e">
        <f>+CT90</f>
        <v>#VALUE!</v>
      </c>
      <c r="CU91" s="3" t="e">
        <f>+CU90</f>
        <v>#DIV/0!</v>
      </c>
      <c r="CV91" s="2" t="e">
        <f>+CV90</f>
        <v>#VALUE!</v>
      </c>
      <c r="CW91" s="548" t="e">
        <f>+CO91</f>
        <v>#DIV/0!</v>
      </c>
      <c r="CX91" s="548" t="e">
        <f>+CP91</f>
        <v>#VALUE!</v>
      </c>
      <c r="CY91" s="548" t="e">
        <f>CQ91</f>
        <v>#DIV/0!</v>
      </c>
      <c r="CZ91" s="548" t="e">
        <f>+CR91</f>
        <v>#VALUE!</v>
      </c>
      <c r="DC91" s="3" t="e">
        <f>5*DA90*POWER(N94,4)/(384*AT92)</f>
        <v>#VALUE!</v>
      </c>
      <c r="DD91" s="3" t="e">
        <f>5*DB90*POWER(N94,4)/(384*AT92)</f>
        <v>#VALUE!</v>
      </c>
      <c r="DE91" s="412" t="s">
        <v>1065</v>
      </c>
      <c r="DF91" s="349" t="s">
        <v>1066</v>
      </c>
      <c r="DG91" s="412" t="s">
        <v>1067</v>
      </c>
      <c r="DH91" s="412" t="s">
        <v>1065</v>
      </c>
      <c r="DI91" s="349" t="s">
        <v>1066</v>
      </c>
      <c r="DJ91" s="412" t="s">
        <v>1067</v>
      </c>
    </row>
    <row r="92" spans="2:117" ht="14.25" customHeight="1" x14ac:dyDescent="0.15">
      <c r="B92" s="1701"/>
      <c r="C92" s="1679" t="s">
        <v>980</v>
      </c>
      <c r="D92" s="1403" t="s">
        <v>961</v>
      </c>
      <c r="E92" s="1404"/>
      <c r="F92" s="1407" t="s">
        <v>964</v>
      </c>
      <c r="G92" s="1408"/>
      <c r="H92" s="1669" t="s">
        <v>1025</v>
      </c>
      <c r="I92" s="1679" t="s">
        <v>970</v>
      </c>
      <c r="J92" s="1277" t="s">
        <v>1060</v>
      </c>
      <c r="K92" s="1671"/>
      <c r="L92" s="1671"/>
      <c r="M92" s="1278"/>
      <c r="N92" s="302"/>
      <c r="O92" s="302"/>
      <c r="P92" s="302"/>
      <c r="Q92" s="302"/>
      <c r="R92" s="1342"/>
      <c r="S92" s="1406"/>
      <c r="T92" s="877" t="s">
        <v>1265</v>
      </c>
      <c r="U92" s="877" t="s">
        <v>1266</v>
      </c>
      <c r="V92" s="877" t="s">
        <v>1267</v>
      </c>
      <c r="W92" s="877" t="s">
        <v>1260</v>
      </c>
      <c r="X92" s="877" t="s">
        <v>1268</v>
      </c>
      <c r="Y92" s="440" t="s">
        <v>1151</v>
      </c>
      <c r="Z92" s="440" t="s">
        <v>1153</v>
      </c>
      <c r="AA92" s="302"/>
      <c r="AB92" s="302"/>
      <c r="AC92" s="302"/>
      <c r="AD92" s="302"/>
      <c r="AE92" s="302"/>
      <c r="AF92" s="194"/>
      <c r="AG92" s="194"/>
      <c r="AH92" s="194"/>
      <c r="AI92" s="194"/>
      <c r="AJ92" s="194"/>
      <c r="AK92" s="194"/>
      <c r="AL92" s="181"/>
      <c r="AM92" s="302"/>
      <c r="AQ92" s="3" t="s">
        <v>15</v>
      </c>
      <c r="AR92" s="3" t="e">
        <f>+VALUE(RIGHT(L89,4))</f>
        <v>#VALUE!</v>
      </c>
      <c r="AS92" s="615" t="s">
        <v>880</v>
      </c>
      <c r="AT92" s="642" t="e">
        <f>+VLOOKUP(VALUE(RIGHT(L89,4)),許容応力!$B$6:$K$22,10)*100</f>
        <v>#VALUE!</v>
      </c>
      <c r="AU92" s="615" t="s">
        <v>881</v>
      </c>
      <c r="AV92" s="520">
        <f>+BN91</f>
        <v>0</v>
      </c>
      <c r="AW92" s="3" t="s">
        <v>997</v>
      </c>
      <c r="AX92" s="3" t="s">
        <v>294</v>
      </c>
      <c r="AY92" s="52" t="s">
        <v>498</v>
      </c>
      <c r="AZ92" s="52" t="s">
        <v>499</v>
      </c>
      <c r="BA92" s="52" t="s">
        <v>500</v>
      </c>
      <c r="BB92" s="52" t="s">
        <v>501</v>
      </c>
      <c r="BC92" s="805" t="s">
        <v>295</v>
      </c>
      <c r="BD92" s="805" t="s">
        <v>296</v>
      </c>
      <c r="BE92" s="52" t="s">
        <v>287</v>
      </c>
      <c r="BF92" s="805" t="s">
        <v>288</v>
      </c>
      <c r="BG92" s="52" t="s">
        <v>490</v>
      </c>
      <c r="BH92" s="52" t="s">
        <v>289</v>
      </c>
      <c r="BI92" s="805" t="s">
        <v>290</v>
      </c>
      <c r="BJ92" s="52" t="s">
        <v>493</v>
      </c>
      <c r="BK92" s="805" t="s">
        <v>291</v>
      </c>
      <c r="BL92" s="805" t="s">
        <v>292</v>
      </c>
      <c r="BM92" s="412" t="s">
        <v>1020</v>
      </c>
      <c r="BN92" s="412" t="s">
        <v>1021</v>
      </c>
      <c r="BU92" s="3" t="s">
        <v>1002</v>
      </c>
      <c r="BV92" s="3">
        <f>IF(E95=0,0,+VALUE(RIGHT(E95,4)))</f>
        <v>0</v>
      </c>
      <c r="BX92" s="3" t="s">
        <v>1011</v>
      </c>
      <c r="BY92" s="3" t="e">
        <f>+BY90+BY91</f>
        <v>#N/A</v>
      </c>
      <c r="BZ92" s="3" t="e">
        <f>+BZ90+BZ91</f>
        <v>#N/A</v>
      </c>
      <c r="CA92" s="3" t="s">
        <v>1018</v>
      </c>
      <c r="CB92" s="3" t="e">
        <f>+BY92*AW89/2</f>
        <v>#N/A</v>
      </c>
      <c r="CC92" s="3" t="e">
        <f>5*BY92*POWER(AW89,4)/(384*AT92)</f>
        <v>#N/A</v>
      </c>
      <c r="CD92" s="805" t="s">
        <v>291</v>
      </c>
      <c r="CE92" s="3" t="e">
        <f>ROUND(M89/10*POWER(CE91,2)/6,0)</f>
        <v>#N/A</v>
      </c>
      <c r="CZ92" s="3" t="s">
        <v>1019</v>
      </c>
      <c r="DA92" s="3">
        <f>+DA90*POWER(M94*100,2)/8</f>
        <v>0</v>
      </c>
      <c r="DB92" s="3" t="e">
        <f>+DB90*POWER(M94*100,2)/8</f>
        <v>#VALUE!</v>
      </c>
      <c r="DE92" s="3" t="e">
        <f>ROUND(DE89/AW93,2)</f>
        <v>#N/A</v>
      </c>
      <c r="DF92" s="3" t="e">
        <f>ROUND(DF89/BD93,2)</f>
        <v>#N/A</v>
      </c>
      <c r="DG92" s="3" t="e">
        <f>ROUND(DG89/AY93,2)</f>
        <v>#N/A</v>
      </c>
      <c r="DH92" s="3" t="e">
        <f>ROUND(DH89/AX93,2)</f>
        <v>#N/A</v>
      </c>
      <c r="DI92" s="3" t="e">
        <f>ROUND(DF89/BD93,2)</f>
        <v>#N/A</v>
      </c>
      <c r="DJ92" s="3" t="e">
        <f>ROUND(DG89/AZ93,2)</f>
        <v>#N/A</v>
      </c>
    </row>
    <row r="93" spans="2:117" x14ac:dyDescent="0.15">
      <c r="B93" s="1701"/>
      <c r="C93" s="1409"/>
      <c r="D93" s="1405"/>
      <c r="E93" s="1406"/>
      <c r="F93" s="411" t="s">
        <v>971</v>
      </c>
      <c r="G93" s="587" t="s">
        <v>1071</v>
      </c>
      <c r="H93" s="1254"/>
      <c r="I93" s="1409"/>
      <c r="J93" s="586" t="s">
        <v>965</v>
      </c>
      <c r="K93" s="586" t="s">
        <v>1022</v>
      </c>
      <c r="L93" s="586" t="s">
        <v>966</v>
      </c>
      <c r="M93" s="470" t="s">
        <v>1026</v>
      </c>
      <c r="N93" s="592" t="s">
        <v>1071</v>
      </c>
      <c r="O93" s="456" t="s">
        <v>1072</v>
      </c>
      <c r="P93" s="457"/>
      <c r="Q93" s="876"/>
      <c r="R93" s="1382"/>
      <c r="S93" s="1406"/>
      <c r="T93" s="1029"/>
      <c r="U93" s="1029"/>
      <c r="V93" s="882">
        <f>+IF(U93=0,0,6)</f>
        <v>0</v>
      </c>
      <c r="W93" s="1029"/>
      <c r="X93" s="1029"/>
      <c r="Y93" s="1018">
        <f>IF(X93=0,0,+$R$170)</f>
        <v>0</v>
      </c>
      <c r="Z93" s="574">
        <f>IF(X93=0,0,+VLOOKUP(Y93,$I$189:$J$194,2))</f>
        <v>0</v>
      </c>
      <c r="AA93" s="194"/>
      <c r="AB93" s="194"/>
      <c r="AC93" s="194"/>
      <c r="AD93" s="194"/>
      <c r="AE93" s="194"/>
      <c r="AF93" s="194"/>
      <c r="AG93" s="194"/>
      <c r="AH93" s="194"/>
      <c r="AI93" s="194"/>
      <c r="AJ93" s="194"/>
      <c r="AK93" s="194"/>
      <c r="AL93" s="181"/>
      <c r="AM93" s="302"/>
      <c r="AQ93" s="638" t="s">
        <v>1055</v>
      </c>
      <c r="AR93" s="409">
        <f>+VALUE(RIGHT($G$52,3))</f>
        <v>2</v>
      </c>
      <c r="AS93" s="520" t="s">
        <v>241</v>
      </c>
      <c r="AT93" s="3">
        <f>+IF(OR(W90=0,W90=1),1,W90)</f>
        <v>1</v>
      </c>
      <c r="AW93" s="10" t="e">
        <f>IF(AR93=2,ROUND(VLOOKUP(AR92,許容応力!$B$6:$K$22,7)*1.1/3*100,0),ROUND(VLOOKUP(AR92,許容応力!$B$6:$K$22,7)*1.1/3*1.3*100,0))</f>
        <v>#VALUE!</v>
      </c>
      <c r="AX93" s="63" t="e">
        <f>ROUND(VLOOKUP(AR92,許容応力!$B$6:$K$22,7)*100*2/3*0.8,0)</f>
        <v>#VALUE!</v>
      </c>
      <c r="AY93" s="10" t="e">
        <f>IF(AR93=2,ROUND(VLOOKUP(AR92,許容応力!$B$6:$K$22,8)*1.1/3*100,0),ROUND(VLOOKUP(AR92,許容応力!$B$6:$K$22,8)*1.1/3*1.3*100,0))</f>
        <v>#VALUE!</v>
      </c>
      <c r="AZ93" s="63" t="e">
        <f>ROUND(VLOOKUP(AR92,許容応力!$B$6:$K$22,8)*100*2/3*0.8,0)</f>
        <v>#VALUE!</v>
      </c>
      <c r="BA93" s="10" t="e">
        <f>IF(AR93=2,ROUND(VLOOKUP(AR92,許容応力!$B$6:$K$22,9)*1.1/3*100,0),ROUND(VLOOKUP(AR92,許容応力!$B$6:$K$22,9)*1.1/3*1.3*100,0))</f>
        <v>#VALUE!</v>
      </c>
      <c r="BB93" s="63" t="e">
        <f>ROUND(VLOOKUP(AR92,許容応力!$B$6:$K$22,9)*100*2/3*0.8,0)</f>
        <v>#VALUE!</v>
      </c>
      <c r="BC93" s="63">
        <f>IF(AR93=2,400,200)</f>
        <v>400</v>
      </c>
      <c r="BD93" s="63">
        <f>ROUND(AW89/BC93,2)</f>
        <v>0</v>
      </c>
      <c r="BE93" s="3" t="e">
        <f>ROUND(($AY91+CB91+DA92)/$BK93,1)</f>
        <v>#DIV/0!</v>
      </c>
      <c r="BF93" s="3" t="e">
        <f>ROUND(($CT90)/$BL93,2)</f>
        <v>#VALUE!</v>
      </c>
      <c r="BG93" s="63" t="e">
        <f>ROUND((BC91+CB92+DA93)/AY93,1)</f>
        <v>#DIV/0!</v>
      </c>
      <c r="BH93" s="3" t="e">
        <f>ROUND(($BA91+CB91+DB92)/$BK93,1)</f>
        <v>#DIV/0!</v>
      </c>
      <c r="BI93" s="3" t="e">
        <f>ROUNDDOWN(($CV90)/$BL93,1)</f>
        <v>#VALUE!</v>
      </c>
      <c r="BJ93" s="63" t="e">
        <f>ROUND((BE91+CB92+DB93)/AZ93,1)</f>
        <v>#DIV/0!</v>
      </c>
      <c r="BK93" s="63">
        <f>ROUNDDOWN(M89/10*POWER(O89/10,2)/6*IF(OR(W89=0,W89=1),1,W89),0)</f>
        <v>0</v>
      </c>
      <c r="BL93" s="63">
        <f>ROUNDDOWN(M89/10*POWER(O89/10,3)/12*IF(OR(W89=0,W89=1),1,W89),0)</f>
        <v>0</v>
      </c>
      <c r="BM93" s="63" t="e">
        <f>ROUND(BC91/(BA93*AH89),1)</f>
        <v>#DIV/0!</v>
      </c>
      <c r="BN93" s="63" t="e">
        <f>ROUND(BE91/(BB93*AH89),1)</f>
        <v>#DIV/0!</v>
      </c>
      <c r="CD93" s="805" t="s">
        <v>292</v>
      </c>
      <c r="CE93" s="3" t="e">
        <f>ROUND(M89/10*POWER(CE91,3)/12,0)</f>
        <v>#N/A</v>
      </c>
      <c r="CZ93" s="3" t="s">
        <v>1018</v>
      </c>
      <c r="DA93" s="3">
        <f>+DA90*M94*100/2</f>
        <v>0</v>
      </c>
      <c r="DB93" s="3" t="e">
        <f>+DB90*M94*100/2</f>
        <v>#VALUE!</v>
      </c>
      <c r="DE93" s="3" t="e">
        <f t="shared" ref="DE93:DJ93" si="33">+DE92</f>
        <v>#N/A</v>
      </c>
      <c r="DF93" s="3" t="e">
        <f t="shared" si="33"/>
        <v>#N/A</v>
      </c>
      <c r="DG93" s="3" t="e">
        <f t="shared" si="33"/>
        <v>#N/A</v>
      </c>
      <c r="DH93" s="3" t="e">
        <f t="shared" si="33"/>
        <v>#N/A</v>
      </c>
      <c r="DI93" s="3" t="e">
        <f t="shared" si="33"/>
        <v>#N/A</v>
      </c>
      <c r="DJ93" s="3" t="e">
        <f t="shared" si="33"/>
        <v>#N/A</v>
      </c>
    </row>
    <row r="94" spans="2:117" x14ac:dyDescent="0.15">
      <c r="B94" s="1701"/>
      <c r="C94" s="1410"/>
      <c r="D94" s="1322"/>
      <c r="E94" s="1211"/>
      <c r="F94" s="1028"/>
      <c r="G94" s="1028"/>
      <c r="H94" s="440">
        <f>ROUND((F94+G94)/2,2)</f>
        <v>0</v>
      </c>
      <c r="I94" s="1410"/>
      <c r="J94" s="1028"/>
      <c r="K94" s="476"/>
      <c r="L94" s="1028"/>
      <c r="M94" s="471">
        <f>SUM(J94:L94)</f>
        <v>0</v>
      </c>
      <c r="N94" s="440">
        <f>+M94*100</f>
        <v>0</v>
      </c>
      <c r="O94" s="302"/>
      <c r="P94" s="302"/>
      <c r="Q94" s="302"/>
      <c r="R94" s="302"/>
      <c r="S94" s="302"/>
      <c r="T94" s="302"/>
      <c r="U94" s="302"/>
      <c r="V94" s="302"/>
      <c r="W94" s="302"/>
      <c r="X94" s="302"/>
      <c r="Y94" s="1024">
        <f>IF(X93=0,0,+$R$169)</f>
        <v>0</v>
      </c>
      <c r="Z94" s="302"/>
      <c r="AA94" s="302"/>
      <c r="AB94" s="302"/>
      <c r="AC94" s="302"/>
      <c r="AD94" s="302"/>
      <c r="AE94" s="302"/>
      <c r="AF94" s="302"/>
      <c r="AG94" s="302"/>
      <c r="AH94" s="302"/>
      <c r="AI94" s="302"/>
      <c r="AJ94" s="302"/>
      <c r="AK94" s="302"/>
      <c r="AL94" s="181"/>
      <c r="AM94" s="302"/>
      <c r="AW94" s="3" t="e">
        <f>+AW93</f>
        <v>#VALUE!</v>
      </c>
      <c r="AX94" s="3" t="e">
        <f t="shared" ref="AX94:BD94" si="34">+AX93</f>
        <v>#VALUE!</v>
      </c>
      <c r="AY94" s="3" t="e">
        <f t="shared" si="34"/>
        <v>#VALUE!</v>
      </c>
      <c r="AZ94" s="3" t="e">
        <f t="shared" si="34"/>
        <v>#VALUE!</v>
      </c>
      <c r="BA94" s="3" t="e">
        <f t="shared" si="34"/>
        <v>#VALUE!</v>
      </c>
      <c r="BB94" s="3" t="e">
        <f t="shared" si="34"/>
        <v>#VALUE!</v>
      </c>
      <c r="BC94" s="3">
        <f t="shared" si="34"/>
        <v>400</v>
      </c>
      <c r="BD94" s="3">
        <f t="shared" si="34"/>
        <v>0</v>
      </c>
      <c r="BE94" s="3" t="e">
        <f>ROUND((CB91+$AY91+DA92)/$BK94,1)</f>
        <v>#N/A</v>
      </c>
      <c r="BF94" s="3" t="e">
        <f>ROUND(($CT91)/$BL94,2)</f>
        <v>#VALUE!</v>
      </c>
      <c r="BG94" s="63" t="e">
        <f>ROUND((BC91+CB92+DA93)/AY93,1)</f>
        <v>#DIV/0!</v>
      </c>
      <c r="BH94" s="3" t="e">
        <f>ROUND(($BA91+CB91+DB92)/$BK94,1)</f>
        <v>#DIV/0!</v>
      </c>
      <c r="BI94" s="3" t="e">
        <f>ROUND(($CV91)/$BL94,2)</f>
        <v>#VALUE!</v>
      </c>
      <c r="BJ94" s="63" t="e">
        <f>ROUND((BE91+CB92+DB93)/AZ93,1)</f>
        <v>#DIV/0!</v>
      </c>
      <c r="BK94" s="63">
        <f>IF(O90&lt;180,ROUND((O90/10-3)*POWER(O90/10-3,2)/6*IF(EX90=0,1,W90),0),ROUND((O90/10-5)*POWER((O90/10-3),2)/6*IF(W90=0,1,W90),0))</f>
        <v>-5</v>
      </c>
      <c r="BL94" s="63">
        <f>ROUND(IF(O90&lt;180,(O90/10-3)*POWER((O90/10-3),3)/12*IF(W90=0,1,W90),(O90/10-5))*POWER((O90/10-3),3)/12*IF(W90=0,1,W90),0)</f>
        <v>-15</v>
      </c>
      <c r="BM94" s="63" t="e">
        <f>+BM93</f>
        <v>#DIV/0!</v>
      </c>
      <c r="BN94" s="63" t="e">
        <f>+BN93</f>
        <v>#DIV/0!</v>
      </c>
    </row>
    <row r="95" spans="2:117" ht="15" thickBot="1" x14ac:dyDescent="0.2">
      <c r="B95" s="1381"/>
      <c r="C95" s="1411" t="s">
        <v>1002</v>
      </c>
      <c r="D95" s="1412"/>
      <c r="E95" s="1150"/>
      <c r="F95" s="472" t="s">
        <v>1003</v>
      </c>
      <c r="G95" s="1136"/>
      <c r="H95" s="459" t="s">
        <v>1004</v>
      </c>
      <c r="I95" s="460"/>
      <c r="J95" s="466"/>
      <c r="K95" s="473"/>
      <c r="L95" s="473"/>
      <c r="M95" s="473"/>
      <c r="N95" s="473"/>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175"/>
      <c r="AM95" s="302"/>
    </row>
    <row r="157" spans="6:18" hidden="1" x14ac:dyDescent="0.15">
      <c r="F157" s="194"/>
      <c r="G157" s="194"/>
      <c r="H157" s="194" t="s">
        <v>1134</v>
      </c>
      <c r="I157" s="544">
        <v>1</v>
      </c>
      <c r="J157" s="544">
        <v>1</v>
      </c>
      <c r="K157" s="544">
        <v>1</v>
      </c>
      <c r="L157" s="544">
        <v>1</v>
      </c>
      <c r="M157" s="544">
        <v>1</v>
      </c>
      <c r="N157" s="544">
        <v>1</v>
      </c>
      <c r="O157" s="544">
        <v>1</v>
      </c>
      <c r="P157" s="544">
        <v>1</v>
      </c>
      <c r="Q157" s="544">
        <v>1</v>
      </c>
      <c r="R157" s="544">
        <v>1</v>
      </c>
    </row>
    <row r="158" spans="6:18" hidden="1" x14ac:dyDescent="0.15">
      <c r="F158" s="194"/>
      <c r="G158" s="194"/>
      <c r="H158" s="194" t="s">
        <v>1133</v>
      </c>
      <c r="I158" s="547">
        <f t="shared" ref="I158:R158" si="35">IF(I202=0,0,+VLOOKUP(I202,$G$197:$J$201,3))</f>
        <v>0</v>
      </c>
      <c r="J158" s="547">
        <f t="shared" si="35"/>
        <v>0</v>
      </c>
      <c r="K158" s="547">
        <f t="shared" si="35"/>
        <v>0</v>
      </c>
      <c r="L158" s="547">
        <f t="shared" si="35"/>
        <v>0</v>
      </c>
      <c r="M158" s="547">
        <f t="shared" si="35"/>
        <v>0</v>
      </c>
      <c r="N158" s="547">
        <f t="shared" si="35"/>
        <v>0</v>
      </c>
      <c r="O158" s="547">
        <f t="shared" si="35"/>
        <v>0</v>
      </c>
      <c r="P158" s="547">
        <f t="shared" si="35"/>
        <v>0</v>
      </c>
      <c r="Q158" s="547">
        <f t="shared" si="35"/>
        <v>0</v>
      </c>
      <c r="R158" s="547">
        <f t="shared" si="35"/>
        <v>0</v>
      </c>
    </row>
    <row r="159" spans="6:18" hidden="1" x14ac:dyDescent="0.15">
      <c r="F159" s="194"/>
      <c r="G159" s="194"/>
      <c r="H159" s="1018" t="s">
        <v>1136</v>
      </c>
      <c r="I159" s="547">
        <f t="shared" ref="I159:R159" si="36">IF(I202=0,0,+VLOOKUP(I202,$G$197:$J$201,2))</f>
        <v>0</v>
      </c>
      <c r="J159" s="547">
        <f t="shared" si="36"/>
        <v>0</v>
      </c>
      <c r="K159" s="547">
        <f t="shared" si="36"/>
        <v>0</v>
      </c>
      <c r="L159" s="547">
        <f t="shared" si="36"/>
        <v>0</v>
      </c>
      <c r="M159" s="547">
        <f t="shared" si="36"/>
        <v>0</v>
      </c>
      <c r="N159" s="547">
        <f t="shared" si="36"/>
        <v>0</v>
      </c>
      <c r="O159" s="547">
        <f t="shared" si="36"/>
        <v>0</v>
      </c>
      <c r="P159" s="547">
        <f t="shared" si="36"/>
        <v>0</v>
      </c>
      <c r="Q159" s="547">
        <f t="shared" si="36"/>
        <v>0</v>
      </c>
      <c r="R159" s="547">
        <f t="shared" si="36"/>
        <v>0</v>
      </c>
    </row>
    <row r="160" spans="6:18" hidden="1" x14ac:dyDescent="0.15">
      <c r="F160" s="194"/>
      <c r="G160" s="194"/>
      <c r="H160" s="1018" t="s">
        <v>1137</v>
      </c>
      <c r="I160" s="547">
        <f t="shared" ref="I160:R160" si="37">IF(I202=0,0,+VLOOKUP(I202,$G$197:$J$201,4))</f>
        <v>0</v>
      </c>
      <c r="J160" s="547">
        <f t="shared" si="37"/>
        <v>0</v>
      </c>
      <c r="K160" s="547">
        <f t="shared" si="37"/>
        <v>0</v>
      </c>
      <c r="L160" s="547">
        <f t="shared" si="37"/>
        <v>0</v>
      </c>
      <c r="M160" s="547">
        <f t="shared" si="37"/>
        <v>0</v>
      </c>
      <c r="N160" s="547">
        <f t="shared" si="37"/>
        <v>0</v>
      </c>
      <c r="O160" s="547">
        <f t="shared" si="37"/>
        <v>0</v>
      </c>
      <c r="P160" s="547">
        <f t="shared" si="37"/>
        <v>0</v>
      </c>
      <c r="Q160" s="547">
        <f t="shared" si="37"/>
        <v>0</v>
      </c>
      <c r="R160" s="547">
        <f t="shared" si="37"/>
        <v>0</v>
      </c>
    </row>
    <row r="161" spans="6:18" hidden="1" x14ac:dyDescent="0.15">
      <c r="F161" s="194"/>
      <c r="G161" s="194"/>
      <c r="H161" s="194"/>
      <c r="I161" s="545">
        <f>+$K15</f>
        <v>0</v>
      </c>
      <c r="J161" s="545">
        <f>+K21</f>
        <v>0</v>
      </c>
      <c r="K161" s="545">
        <f>+K27</f>
        <v>0</v>
      </c>
      <c r="L161" s="545">
        <f>+K33</f>
        <v>0</v>
      </c>
      <c r="M161" s="545">
        <f>+K39</f>
        <v>0</v>
      </c>
      <c r="N161" s="545">
        <f>+L57</f>
        <v>0</v>
      </c>
      <c r="O161" s="545">
        <f>+L65</f>
        <v>0</v>
      </c>
      <c r="P161" s="545">
        <f>+L73</f>
        <v>0</v>
      </c>
      <c r="Q161" s="545">
        <f>+L81</f>
        <v>0</v>
      </c>
      <c r="R161" s="545">
        <f>+L89</f>
        <v>0</v>
      </c>
    </row>
    <row r="162" spans="6:18" hidden="1" x14ac:dyDescent="0.15">
      <c r="F162" s="194"/>
      <c r="G162" s="539" t="s">
        <v>1107</v>
      </c>
      <c r="H162" s="457"/>
      <c r="I162" s="1018" t="s">
        <v>1138</v>
      </c>
      <c r="J162" s="1018" t="s">
        <v>1139</v>
      </c>
      <c r="K162" s="1018" t="s">
        <v>1140</v>
      </c>
      <c r="L162" s="1018" t="s">
        <v>1141</v>
      </c>
      <c r="M162" s="1018" t="s">
        <v>1142</v>
      </c>
      <c r="N162" s="1018" t="s">
        <v>1143</v>
      </c>
      <c r="O162" s="1018" t="s">
        <v>1158</v>
      </c>
      <c r="P162" s="1018" t="s">
        <v>1159</v>
      </c>
      <c r="Q162" s="1018" t="s">
        <v>1160</v>
      </c>
      <c r="R162" s="1018" t="s">
        <v>1161</v>
      </c>
    </row>
    <row r="163" spans="6:18" hidden="1" x14ac:dyDescent="0.15">
      <c r="F163" s="194"/>
      <c r="G163" s="540" t="s">
        <v>1108</v>
      </c>
      <c r="H163" s="541"/>
      <c r="I163" s="540">
        <f>+R19*10</f>
        <v>0</v>
      </c>
      <c r="J163" s="540">
        <f>+$R25*10</f>
        <v>0</v>
      </c>
      <c r="K163" s="540">
        <f>+$R31*10</f>
        <v>0</v>
      </c>
      <c r="L163" s="540">
        <f>+$R37*10</f>
        <v>0</v>
      </c>
      <c r="M163" s="650">
        <f>+$R43*10</f>
        <v>0</v>
      </c>
      <c r="N163" s="1026">
        <f>+$T61*10</f>
        <v>0</v>
      </c>
      <c r="O163" s="1026">
        <f>+$T69*10</f>
        <v>0</v>
      </c>
      <c r="P163" s="1026">
        <f>+$T77*10</f>
        <v>0</v>
      </c>
      <c r="Q163" s="1026">
        <f>+$T85*10</f>
        <v>0</v>
      </c>
      <c r="R163" s="1026">
        <f>+$T93*10</f>
        <v>0</v>
      </c>
    </row>
    <row r="164" spans="6:18" hidden="1" x14ac:dyDescent="0.15">
      <c r="F164" s="194"/>
      <c r="G164" s="539" t="s">
        <v>1144</v>
      </c>
      <c r="H164" s="542" t="s">
        <v>1145</v>
      </c>
      <c r="I164" s="539">
        <f>+S19*10</f>
        <v>0</v>
      </c>
      <c r="J164" s="539">
        <f>+$S25*10</f>
        <v>0</v>
      </c>
      <c r="K164" s="539">
        <f>+$S31*10</f>
        <v>0</v>
      </c>
      <c r="L164" s="539">
        <f>+$S37*10</f>
        <v>0</v>
      </c>
      <c r="M164" s="539">
        <f>+$S43*10</f>
        <v>0</v>
      </c>
      <c r="N164" s="1027">
        <f>+$U61*10</f>
        <v>0</v>
      </c>
      <c r="O164" s="1027">
        <f>+$U69*10</f>
        <v>0</v>
      </c>
      <c r="P164" s="1027">
        <f>+$U77*10</f>
        <v>0</v>
      </c>
      <c r="Q164" s="1027">
        <f>+$U85*10</f>
        <v>0</v>
      </c>
      <c r="R164" s="1027">
        <f>+$U93*10</f>
        <v>0</v>
      </c>
    </row>
    <row r="165" spans="6:18" hidden="1" x14ac:dyDescent="0.15">
      <c r="F165" s="194"/>
      <c r="G165" s="539" t="s">
        <v>1146</v>
      </c>
      <c r="H165" s="542" t="s">
        <v>1145</v>
      </c>
      <c r="I165" s="539">
        <f>+T19*10</f>
        <v>0</v>
      </c>
      <c r="J165" s="539">
        <f>+$T25*10</f>
        <v>0</v>
      </c>
      <c r="K165" s="539">
        <f>+$T31*10</f>
        <v>0</v>
      </c>
      <c r="L165" s="539">
        <f>+$T37*10</f>
        <v>0</v>
      </c>
      <c r="M165" s="539">
        <f>+$T43*10</f>
        <v>0</v>
      </c>
      <c r="N165" s="1027">
        <f>+$V61*10</f>
        <v>0</v>
      </c>
      <c r="O165" s="1027">
        <f>+$V69*10</f>
        <v>0</v>
      </c>
      <c r="P165" s="1027">
        <f>+$V77*10</f>
        <v>0</v>
      </c>
      <c r="Q165" s="1027">
        <f>+$V85*10</f>
        <v>0</v>
      </c>
      <c r="R165" s="1027">
        <f>+$V93*10</f>
        <v>0</v>
      </c>
    </row>
    <row r="166" spans="6:18" hidden="1" x14ac:dyDescent="0.15">
      <c r="F166" s="194"/>
      <c r="G166" s="539" t="s">
        <v>1147</v>
      </c>
      <c r="H166" s="542" t="s">
        <v>1145</v>
      </c>
      <c r="I166" s="539">
        <f>+U19*10</f>
        <v>0</v>
      </c>
      <c r="J166" s="539">
        <f>+$U25*10</f>
        <v>0</v>
      </c>
      <c r="K166" s="539">
        <f>+$U31*10</f>
        <v>0</v>
      </c>
      <c r="L166" s="539">
        <f>+$U37*10</f>
        <v>0</v>
      </c>
      <c r="M166" s="539">
        <f>+$U43*10</f>
        <v>0</v>
      </c>
      <c r="N166" s="1027">
        <f>+$W61*10</f>
        <v>0</v>
      </c>
      <c r="O166" s="1027">
        <f>+$W69*10</f>
        <v>0</v>
      </c>
      <c r="P166" s="1027">
        <f>+$W77*10</f>
        <v>0</v>
      </c>
      <c r="Q166" s="1027">
        <f>+$W85*10</f>
        <v>0</v>
      </c>
      <c r="R166" s="1027">
        <f>+$W93*10</f>
        <v>0</v>
      </c>
    </row>
    <row r="167" spans="6:18" hidden="1" x14ac:dyDescent="0.15">
      <c r="F167" s="194"/>
      <c r="G167" s="539" t="s">
        <v>1148</v>
      </c>
      <c r="H167" s="542" t="s">
        <v>1145</v>
      </c>
      <c r="I167" s="539">
        <f>+V19*10</f>
        <v>0</v>
      </c>
      <c r="J167" s="539">
        <f>+$V25*10</f>
        <v>0</v>
      </c>
      <c r="K167" s="539">
        <f>+$V31*10</f>
        <v>0</v>
      </c>
      <c r="L167" s="539">
        <f>+$V37*10</f>
        <v>0</v>
      </c>
      <c r="M167" s="539">
        <f>+$V43*10</f>
        <v>0</v>
      </c>
      <c r="N167" s="1027">
        <f>+$X61*10</f>
        <v>0</v>
      </c>
      <c r="O167" s="1027">
        <f>+$X69*10</f>
        <v>0</v>
      </c>
      <c r="P167" s="1027">
        <f>+$X77*10</f>
        <v>0</v>
      </c>
      <c r="Q167" s="1027">
        <f>+$X85*10</f>
        <v>0</v>
      </c>
      <c r="R167" s="1027">
        <f>+$X93*10</f>
        <v>0</v>
      </c>
    </row>
    <row r="168" spans="6:18" hidden="1" x14ac:dyDescent="0.15">
      <c r="F168" s="194"/>
      <c r="G168" s="539" t="s">
        <v>1149</v>
      </c>
      <c r="H168" s="542" t="s">
        <v>1145</v>
      </c>
      <c r="I168" s="539" t="str">
        <f>IF(I166=0,+"",ROUND((I166-I167)/2,0))</f>
        <v/>
      </c>
      <c r="J168" s="539" t="str">
        <f t="shared" ref="J168:R168" si="38">IF(J166=0,+"",ROUND((J166-J167)/2,0))</f>
        <v/>
      </c>
      <c r="K168" s="539" t="str">
        <f t="shared" si="38"/>
        <v/>
      </c>
      <c r="L168" s="539" t="str">
        <f t="shared" si="38"/>
        <v/>
      </c>
      <c r="M168" s="539" t="str">
        <f t="shared" si="38"/>
        <v/>
      </c>
      <c r="N168" s="539" t="str">
        <f t="shared" si="38"/>
        <v/>
      </c>
      <c r="O168" s="539" t="str">
        <f t="shared" si="38"/>
        <v/>
      </c>
      <c r="P168" s="539" t="str">
        <f t="shared" si="38"/>
        <v/>
      </c>
      <c r="Q168" s="539" t="str">
        <f t="shared" si="38"/>
        <v/>
      </c>
      <c r="R168" s="539" t="str">
        <f t="shared" si="38"/>
        <v/>
      </c>
    </row>
    <row r="169" spans="6:18" hidden="1" x14ac:dyDescent="0.15">
      <c r="F169" s="194"/>
      <c r="G169" s="539"/>
      <c r="H169" s="542"/>
      <c r="I169" s="539" t="str">
        <f>IF(I164=0,+"",IF(ROUND((I168/I164)*180/PI(),2)&lt;=13,"OK!",ROUND((I168/I164)*180/PI(),2)))</f>
        <v/>
      </c>
      <c r="J169" s="539" t="str">
        <f t="shared" ref="J169:R169" si="39">IF(J164=0,+"",IF(ROUND((J168/J164)*180/PI(),2)&lt;=13,"OK!",ROUND((J168/J164)*180/PI(),2)))</f>
        <v/>
      </c>
      <c r="K169" s="539" t="str">
        <f t="shared" si="39"/>
        <v/>
      </c>
      <c r="L169" s="539" t="str">
        <f t="shared" si="39"/>
        <v/>
      </c>
      <c r="M169" s="539" t="str">
        <f t="shared" si="39"/>
        <v/>
      </c>
      <c r="N169" s="539" t="str">
        <f t="shared" si="39"/>
        <v/>
      </c>
      <c r="O169" s="539" t="str">
        <f t="shared" si="39"/>
        <v/>
      </c>
      <c r="P169" s="539" t="str">
        <f t="shared" si="39"/>
        <v/>
      </c>
      <c r="Q169" s="539" t="str">
        <f t="shared" si="39"/>
        <v/>
      </c>
      <c r="R169" s="539" t="str">
        <f t="shared" si="39"/>
        <v/>
      </c>
    </row>
    <row r="170" spans="6:18" hidden="1" x14ac:dyDescent="0.15">
      <c r="F170" s="194"/>
      <c r="G170" s="539" t="s">
        <v>1135</v>
      </c>
      <c r="H170" s="542" t="s">
        <v>1109</v>
      </c>
      <c r="I170" s="539" t="str">
        <f>IF(I164=0,+"",IF(ROUND((I168/I164)*180/PI(),2)&gt;13,"NO!",ROUND((I168/I164)*180/PI(),2)))</f>
        <v/>
      </c>
      <c r="J170" s="539" t="str">
        <f t="shared" ref="J170:R170" si="40">IF(J164=0,+"",IF(ROUND((J168/J164)*180/PI(),2)&gt;13,"NO!",ROUND((J168/J164)*180/PI(),2)))</f>
        <v/>
      </c>
      <c r="K170" s="539" t="str">
        <f t="shared" si="40"/>
        <v/>
      </c>
      <c r="L170" s="539" t="str">
        <f t="shared" si="40"/>
        <v/>
      </c>
      <c r="M170" s="539" t="str">
        <f t="shared" si="40"/>
        <v/>
      </c>
      <c r="N170" s="539" t="str">
        <f t="shared" si="40"/>
        <v/>
      </c>
      <c r="O170" s="539" t="str">
        <f t="shared" si="40"/>
        <v/>
      </c>
      <c r="P170" s="539" t="str">
        <f t="shared" si="40"/>
        <v/>
      </c>
      <c r="Q170" s="539" t="str">
        <f t="shared" si="40"/>
        <v/>
      </c>
      <c r="R170" s="539" t="str">
        <f t="shared" si="40"/>
        <v/>
      </c>
    </row>
    <row r="171" spans="6:18" hidden="1" x14ac:dyDescent="0.15">
      <c r="F171" s="194"/>
      <c r="G171" s="539" t="s">
        <v>1110</v>
      </c>
      <c r="H171" s="542"/>
      <c r="I171" s="539" t="str">
        <f>IF(I170=+"",+"",ROUND(SIN(I170*PI()/180),2))</f>
        <v/>
      </c>
      <c r="J171" s="539" t="str">
        <f t="shared" ref="J171:R171" si="41">IF(J170=+"",+"",ROUND(SIN(J170*PI()/180),2))</f>
        <v/>
      </c>
      <c r="K171" s="539" t="str">
        <f t="shared" si="41"/>
        <v/>
      </c>
      <c r="L171" s="539" t="str">
        <f t="shared" si="41"/>
        <v/>
      </c>
      <c r="M171" s="539" t="str">
        <f t="shared" si="41"/>
        <v/>
      </c>
      <c r="N171" s="539" t="str">
        <f t="shared" si="41"/>
        <v/>
      </c>
      <c r="O171" s="539" t="str">
        <f t="shared" si="41"/>
        <v/>
      </c>
      <c r="P171" s="539" t="str">
        <f t="shared" si="41"/>
        <v/>
      </c>
      <c r="Q171" s="539" t="str">
        <f t="shared" si="41"/>
        <v/>
      </c>
      <c r="R171" s="539" t="str">
        <f t="shared" si="41"/>
        <v/>
      </c>
    </row>
    <row r="172" spans="6:18" hidden="1" x14ac:dyDescent="0.15">
      <c r="F172" s="194"/>
      <c r="G172" s="539" t="s">
        <v>1111</v>
      </c>
      <c r="H172" s="542"/>
      <c r="I172" s="539" t="str">
        <f>IF(I170=+"",+"",ROUND(COS(I170*PI()/180),2))</f>
        <v/>
      </c>
      <c r="J172" s="549" t="str">
        <f t="shared" ref="J172:R172" si="42">IF(J170=+"",+"",ROUND(COS(J170*PI()/180),2))</f>
        <v/>
      </c>
      <c r="K172" s="549" t="str">
        <f t="shared" si="42"/>
        <v/>
      </c>
      <c r="L172" s="549" t="str">
        <f t="shared" si="42"/>
        <v/>
      </c>
      <c r="M172" s="549" t="str">
        <f t="shared" si="42"/>
        <v/>
      </c>
      <c r="N172" s="549" t="str">
        <f t="shared" si="42"/>
        <v/>
      </c>
      <c r="O172" s="549" t="str">
        <f t="shared" si="42"/>
        <v/>
      </c>
      <c r="P172" s="549" t="str">
        <f t="shared" si="42"/>
        <v/>
      </c>
      <c r="Q172" s="549" t="str">
        <f t="shared" si="42"/>
        <v/>
      </c>
      <c r="R172" s="549" t="str">
        <f t="shared" si="42"/>
        <v/>
      </c>
    </row>
    <row r="173" spans="6:18" hidden="1" x14ac:dyDescent="0.15">
      <c r="F173" s="194"/>
      <c r="G173" s="539" t="s">
        <v>1112</v>
      </c>
      <c r="H173" s="542"/>
      <c r="I173" s="539" t="str">
        <f>IF(I170=+"",+"",ROUND(TAN(I170*PI()/180),2))</f>
        <v/>
      </c>
      <c r="J173" s="539" t="str">
        <f t="shared" ref="J173:R173" si="43">IF(J170=+"",+"",ROUND(TAN(J170*PI()/180),2))</f>
        <v/>
      </c>
      <c r="K173" s="539" t="str">
        <f t="shared" si="43"/>
        <v/>
      </c>
      <c r="L173" s="539" t="str">
        <f t="shared" si="43"/>
        <v/>
      </c>
      <c r="M173" s="539" t="str">
        <f t="shared" si="43"/>
        <v/>
      </c>
      <c r="N173" s="539" t="str">
        <f t="shared" si="43"/>
        <v/>
      </c>
      <c r="O173" s="539" t="str">
        <f t="shared" si="43"/>
        <v/>
      </c>
      <c r="P173" s="539" t="str">
        <f t="shared" si="43"/>
        <v/>
      </c>
      <c r="Q173" s="539" t="str">
        <f t="shared" si="43"/>
        <v/>
      </c>
      <c r="R173" s="539" t="str">
        <f t="shared" si="43"/>
        <v/>
      </c>
    </row>
    <row r="174" spans="6:18" ht="15.75" hidden="1" x14ac:dyDescent="0.15">
      <c r="F174" s="194"/>
      <c r="G174" s="539" t="s">
        <v>1113</v>
      </c>
      <c r="H174" s="542" t="s">
        <v>1114</v>
      </c>
      <c r="I174" s="539" t="str">
        <f>IF(I170=+"",+"",ROUND(I$159*I$160/(I$159*I171*I171+I$160*I172*I172),2))</f>
        <v/>
      </c>
      <c r="J174" s="539" t="str">
        <f t="shared" ref="J174:R174" si="44">IF(J170=+"",+"",ROUND(J$159*J$160/(J$159*J171*J171+J$160*J172*J172),2))</f>
        <v/>
      </c>
      <c r="K174" s="539" t="str">
        <f t="shared" si="44"/>
        <v/>
      </c>
      <c r="L174" s="539" t="str">
        <f t="shared" si="44"/>
        <v/>
      </c>
      <c r="M174" s="539" t="str">
        <f t="shared" si="44"/>
        <v/>
      </c>
      <c r="N174" s="539" t="str">
        <f t="shared" si="44"/>
        <v/>
      </c>
      <c r="O174" s="539" t="str">
        <f t="shared" si="44"/>
        <v/>
      </c>
      <c r="P174" s="539" t="str">
        <f t="shared" si="44"/>
        <v/>
      </c>
      <c r="Q174" s="539" t="str">
        <f t="shared" si="44"/>
        <v/>
      </c>
      <c r="R174" s="539" t="str">
        <f t="shared" si="44"/>
        <v/>
      </c>
    </row>
    <row r="175" spans="6:18" hidden="1" x14ac:dyDescent="0.15">
      <c r="F175" s="194"/>
      <c r="G175" s="539" t="s">
        <v>1115</v>
      </c>
      <c r="H175" s="542" t="s">
        <v>1116</v>
      </c>
      <c r="I175" s="539" t="str">
        <f t="shared" ref="I175:R175" si="45">IF(I174=+"",+"",ROUND(I174*(I164/I172*I163)*I171/1000,2))</f>
        <v/>
      </c>
      <c r="J175" s="539" t="str">
        <f t="shared" si="45"/>
        <v/>
      </c>
      <c r="K175" s="539" t="str">
        <f t="shared" si="45"/>
        <v/>
      </c>
      <c r="L175" s="539" t="str">
        <f t="shared" si="45"/>
        <v/>
      </c>
      <c r="M175" s="539" t="str">
        <f t="shared" si="45"/>
        <v/>
      </c>
      <c r="N175" s="539" t="str">
        <f t="shared" si="45"/>
        <v/>
      </c>
      <c r="O175" s="539" t="str">
        <f t="shared" si="45"/>
        <v/>
      </c>
      <c r="P175" s="539" t="str">
        <f t="shared" si="45"/>
        <v/>
      </c>
      <c r="Q175" s="539" t="str">
        <f t="shared" si="45"/>
        <v/>
      </c>
      <c r="R175" s="539" t="str">
        <f t="shared" si="45"/>
        <v/>
      </c>
    </row>
    <row r="176" spans="6:18" hidden="1" x14ac:dyDescent="0.15">
      <c r="F176" s="194"/>
      <c r="G176" s="539" t="s">
        <v>1117</v>
      </c>
      <c r="H176" s="542"/>
      <c r="I176" s="539">
        <v>1.1000000000000001</v>
      </c>
      <c r="J176" s="539">
        <v>1.1000000000000001</v>
      </c>
      <c r="K176" s="539">
        <v>1.1000000000000001</v>
      </c>
      <c r="L176" s="539">
        <v>1.1000000000000001</v>
      </c>
      <c r="M176" s="539">
        <v>1.1000000000000001</v>
      </c>
      <c r="N176" s="539">
        <v>1.1000000000000001</v>
      </c>
      <c r="O176" s="539">
        <v>1.1000000000000001</v>
      </c>
      <c r="P176" s="539">
        <v>1.1000000000000001</v>
      </c>
      <c r="Q176" s="539">
        <v>1.1000000000000001</v>
      </c>
      <c r="R176" s="539">
        <v>1.1000000000000001</v>
      </c>
    </row>
    <row r="177" spans="6:18" hidden="1" x14ac:dyDescent="0.15">
      <c r="F177" s="194"/>
      <c r="G177" s="539" t="s">
        <v>1118</v>
      </c>
      <c r="H177" s="542" t="s">
        <v>1116</v>
      </c>
      <c r="I177" s="539">
        <f t="shared" ref="I177:R177" si="46">IF(I176=+"",+"",ROUND(I176*I$160*I167*I163/1000,2))</f>
        <v>0</v>
      </c>
      <c r="J177" s="539">
        <f t="shared" si="46"/>
        <v>0</v>
      </c>
      <c r="K177" s="539">
        <f t="shared" si="46"/>
        <v>0</v>
      </c>
      <c r="L177" s="539">
        <f t="shared" si="46"/>
        <v>0</v>
      </c>
      <c r="M177" s="539">
        <f t="shared" si="46"/>
        <v>0</v>
      </c>
      <c r="N177" s="539">
        <f t="shared" si="46"/>
        <v>0</v>
      </c>
      <c r="O177" s="539">
        <f t="shared" si="46"/>
        <v>0</v>
      </c>
      <c r="P177" s="539">
        <f t="shared" si="46"/>
        <v>0</v>
      </c>
      <c r="Q177" s="539">
        <f t="shared" si="46"/>
        <v>0</v>
      </c>
      <c r="R177" s="539">
        <f t="shared" si="46"/>
        <v>0</v>
      </c>
    </row>
    <row r="178" spans="6:18" hidden="1" x14ac:dyDescent="0.15">
      <c r="F178" s="194"/>
      <c r="G178" s="539" t="s">
        <v>1119</v>
      </c>
      <c r="H178" s="542" t="s">
        <v>1120</v>
      </c>
      <c r="I178" s="539" t="e">
        <f>IF(I177=+"",+"",ROUND(I175*2+I177,2))</f>
        <v>#VALUE!</v>
      </c>
      <c r="J178" s="539" t="e">
        <f t="shared" ref="J178:R178" si="47">IF(J177=+"",+"",ROUND(J175*2+J177,2))</f>
        <v>#VALUE!</v>
      </c>
      <c r="K178" s="539" t="e">
        <f t="shared" si="47"/>
        <v>#VALUE!</v>
      </c>
      <c r="L178" s="539" t="e">
        <f t="shared" si="47"/>
        <v>#VALUE!</v>
      </c>
      <c r="M178" s="539" t="e">
        <f t="shared" si="47"/>
        <v>#VALUE!</v>
      </c>
      <c r="N178" s="539" t="e">
        <f t="shared" si="47"/>
        <v>#VALUE!</v>
      </c>
      <c r="O178" s="539" t="e">
        <f t="shared" si="47"/>
        <v>#VALUE!</v>
      </c>
      <c r="P178" s="539" t="e">
        <f t="shared" si="47"/>
        <v>#VALUE!</v>
      </c>
      <c r="Q178" s="539" t="e">
        <f t="shared" si="47"/>
        <v>#VALUE!</v>
      </c>
      <c r="R178" s="539" t="e">
        <f t="shared" si="47"/>
        <v>#VALUE!</v>
      </c>
    </row>
    <row r="179" spans="6:18" hidden="1" x14ac:dyDescent="0.15">
      <c r="F179" s="194"/>
      <c r="G179" s="539" t="s">
        <v>1121</v>
      </c>
      <c r="H179" s="542" t="s">
        <v>1122</v>
      </c>
      <c r="I179" s="539" t="e">
        <f>IF(I177=+"",+"",ROUND(I175*2/(I175*2+I177),2))</f>
        <v>#VALUE!</v>
      </c>
      <c r="J179" s="539" t="e">
        <f t="shared" ref="J179:R179" si="48">IF(J177=+"",+"",ROUND(J175*2/(J175*2+J177),2))</f>
        <v>#VALUE!</v>
      </c>
      <c r="K179" s="539" t="e">
        <f t="shared" si="48"/>
        <v>#VALUE!</v>
      </c>
      <c r="L179" s="539" t="e">
        <f t="shared" si="48"/>
        <v>#VALUE!</v>
      </c>
      <c r="M179" s="539" t="e">
        <f t="shared" si="48"/>
        <v>#VALUE!</v>
      </c>
      <c r="N179" s="539" t="e">
        <f t="shared" si="48"/>
        <v>#VALUE!</v>
      </c>
      <c r="O179" s="539" t="e">
        <f t="shared" si="48"/>
        <v>#VALUE!</v>
      </c>
      <c r="P179" s="539" t="e">
        <f t="shared" si="48"/>
        <v>#VALUE!</v>
      </c>
      <c r="Q179" s="539" t="e">
        <f t="shared" si="48"/>
        <v>#VALUE!</v>
      </c>
      <c r="R179" s="539" t="e">
        <f t="shared" si="48"/>
        <v>#VALUE!</v>
      </c>
    </row>
    <row r="180" spans="6:18" hidden="1" x14ac:dyDescent="0.15">
      <c r="F180" s="194"/>
      <c r="G180" s="539"/>
      <c r="H180" s="542" t="s">
        <v>1123</v>
      </c>
      <c r="I180" s="539" t="e">
        <f>IF(I179=+"",+"",1-I179)</f>
        <v>#VALUE!</v>
      </c>
      <c r="J180" s="539" t="e">
        <f t="shared" ref="J180:R180" si="49">IF(J179=+"",+"",1-J179)</f>
        <v>#VALUE!</v>
      </c>
      <c r="K180" s="539" t="e">
        <f t="shared" si="49"/>
        <v>#VALUE!</v>
      </c>
      <c r="L180" s="539" t="e">
        <f t="shared" si="49"/>
        <v>#VALUE!</v>
      </c>
      <c r="M180" s="539" t="e">
        <f t="shared" si="49"/>
        <v>#VALUE!</v>
      </c>
      <c r="N180" s="539" t="e">
        <f t="shared" si="49"/>
        <v>#VALUE!</v>
      </c>
      <c r="O180" s="539" t="e">
        <f t="shared" si="49"/>
        <v>#VALUE!</v>
      </c>
      <c r="P180" s="539" t="e">
        <f t="shared" si="49"/>
        <v>#VALUE!</v>
      </c>
      <c r="Q180" s="539" t="e">
        <f t="shared" si="49"/>
        <v>#VALUE!</v>
      </c>
      <c r="R180" s="539" t="e">
        <f t="shared" si="49"/>
        <v>#VALUE!</v>
      </c>
    </row>
    <row r="181" spans="6:18" hidden="1" x14ac:dyDescent="0.15">
      <c r="F181" s="194"/>
      <c r="G181" s="539" t="s">
        <v>1124</v>
      </c>
      <c r="H181" s="542" t="s">
        <v>1125</v>
      </c>
      <c r="I181" s="543" t="str">
        <f t="shared" ref="I181:R181" si="50">+IF(I166=0,+"",ROUND((I166+I167)/2*I164,0))</f>
        <v/>
      </c>
      <c r="J181" s="543" t="str">
        <f t="shared" si="50"/>
        <v/>
      </c>
      <c r="K181" s="543" t="str">
        <f t="shared" si="50"/>
        <v/>
      </c>
      <c r="L181" s="543" t="str">
        <f t="shared" si="50"/>
        <v/>
      </c>
      <c r="M181" s="543" t="str">
        <f t="shared" si="50"/>
        <v/>
      </c>
      <c r="N181" s="543" t="str">
        <f t="shared" si="50"/>
        <v/>
      </c>
      <c r="O181" s="543" t="str">
        <f t="shared" si="50"/>
        <v/>
      </c>
      <c r="P181" s="543" t="str">
        <f t="shared" si="50"/>
        <v/>
      </c>
      <c r="Q181" s="543" t="str">
        <f t="shared" si="50"/>
        <v/>
      </c>
      <c r="R181" s="543" t="str">
        <f t="shared" si="50"/>
        <v/>
      </c>
    </row>
    <row r="182" spans="6:18" hidden="1" x14ac:dyDescent="0.15">
      <c r="F182" s="194"/>
      <c r="G182" s="539" t="s">
        <v>1126</v>
      </c>
      <c r="H182" s="542"/>
      <c r="I182" s="539" t="str">
        <f>IF(I181=+"",+"",ROUND(I$158*I181*I$157/1000,2))</f>
        <v/>
      </c>
      <c r="J182" s="539" t="str">
        <f t="shared" ref="J182:R182" si="51">IF(J181=+"",+"",ROUND(J$158*J181*J$157/1000,2))</f>
        <v/>
      </c>
      <c r="K182" s="539" t="str">
        <f t="shared" si="51"/>
        <v/>
      </c>
      <c r="L182" s="539" t="str">
        <f t="shared" si="51"/>
        <v/>
      </c>
      <c r="M182" s="539" t="str">
        <f t="shared" si="51"/>
        <v/>
      </c>
      <c r="N182" s="539" t="str">
        <f t="shared" si="51"/>
        <v/>
      </c>
      <c r="O182" s="539" t="str">
        <f t="shared" si="51"/>
        <v/>
      </c>
      <c r="P182" s="539" t="str">
        <f t="shared" si="51"/>
        <v/>
      </c>
      <c r="Q182" s="539" t="str">
        <f t="shared" si="51"/>
        <v/>
      </c>
      <c r="R182" s="539" t="str">
        <f t="shared" si="51"/>
        <v/>
      </c>
    </row>
    <row r="183" spans="6:18" hidden="1" x14ac:dyDescent="0.15">
      <c r="F183" s="194"/>
      <c r="G183" s="539" t="s">
        <v>1127</v>
      </c>
      <c r="H183" s="542"/>
      <c r="I183" s="539" t="e">
        <f>IF(I178=+"",+"",ROUND(I178*2/3,2))</f>
        <v>#VALUE!</v>
      </c>
      <c r="J183" s="539" t="e">
        <f t="shared" ref="J183:R183" si="52">IF(J178=+"",+"",ROUND(J178*2/3,2))</f>
        <v>#VALUE!</v>
      </c>
      <c r="K183" s="539" t="e">
        <f t="shared" si="52"/>
        <v>#VALUE!</v>
      </c>
      <c r="L183" s="539" t="e">
        <f t="shared" si="52"/>
        <v>#VALUE!</v>
      </c>
      <c r="M183" s="539" t="e">
        <f t="shared" si="52"/>
        <v>#VALUE!</v>
      </c>
      <c r="N183" s="539" t="e">
        <f t="shared" si="52"/>
        <v>#VALUE!</v>
      </c>
      <c r="O183" s="539" t="e">
        <f t="shared" si="52"/>
        <v>#VALUE!</v>
      </c>
      <c r="P183" s="539" t="e">
        <f t="shared" si="52"/>
        <v>#VALUE!</v>
      </c>
      <c r="Q183" s="539" t="e">
        <f t="shared" si="52"/>
        <v>#VALUE!</v>
      </c>
      <c r="R183" s="539" t="e">
        <f t="shared" si="52"/>
        <v>#VALUE!</v>
      </c>
    </row>
    <row r="184" spans="6:18" hidden="1" x14ac:dyDescent="0.15">
      <c r="F184" s="194"/>
      <c r="G184" s="194"/>
      <c r="H184" s="194"/>
      <c r="I184" s="194"/>
      <c r="J184" s="194"/>
      <c r="K184" s="194"/>
      <c r="L184" s="194"/>
      <c r="M184" s="194"/>
      <c r="N184" s="194"/>
      <c r="O184" s="194"/>
    </row>
    <row r="185" spans="6:18" hidden="1" x14ac:dyDescent="0.15">
      <c r="F185" s="194"/>
      <c r="G185" s="302" t="s">
        <v>1128</v>
      </c>
      <c r="H185" s="194"/>
      <c r="I185" s="194" t="s">
        <v>1129</v>
      </c>
      <c r="J185" s="194"/>
      <c r="K185" s="194"/>
      <c r="L185" s="194"/>
      <c r="M185" s="194"/>
      <c r="N185" s="194"/>
      <c r="O185" s="194"/>
    </row>
    <row r="186" spans="6:18" hidden="1" x14ac:dyDescent="0.15">
      <c r="F186" s="194"/>
      <c r="G186" s="194"/>
      <c r="H186" s="440" t="s">
        <v>1130</v>
      </c>
      <c r="I186" s="544">
        <v>2</v>
      </c>
      <c r="J186" s="544">
        <v>4</v>
      </c>
      <c r="K186" s="544">
        <v>6</v>
      </c>
      <c r="L186" s="544">
        <v>8</v>
      </c>
      <c r="M186" s="544">
        <v>10</v>
      </c>
      <c r="N186" s="544">
        <v>12</v>
      </c>
      <c r="O186" s="194"/>
    </row>
    <row r="187" spans="6:18" hidden="1" x14ac:dyDescent="0.15">
      <c r="F187" s="194"/>
      <c r="G187" s="194"/>
      <c r="H187" s="440" t="s">
        <v>1131</v>
      </c>
      <c r="I187" s="545">
        <v>0.42</v>
      </c>
      <c r="J187" s="545">
        <v>0.53</v>
      </c>
      <c r="K187" s="545">
        <v>0.66</v>
      </c>
      <c r="L187" s="545">
        <v>0.75</v>
      </c>
      <c r="M187" s="545">
        <v>0.9</v>
      </c>
      <c r="N187" s="546">
        <v>1</v>
      </c>
      <c r="O187" s="194"/>
    </row>
    <row r="188" spans="6:18" hidden="1" x14ac:dyDescent="0.15">
      <c r="F188" s="194"/>
      <c r="G188" s="194"/>
      <c r="H188" s="194"/>
      <c r="I188" s="440" t="s">
        <v>1130</v>
      </c>
      <c r="J188" s="440" t="s">
        <v>1152</v>
      </c>
      <c r="K188" s="194"/>
      <c r="L188" s="194"/>
      <c r="M188" s="194"/>
      <c r="N188" s="194"/>
      <c r="O188" s="194"/>
    </row>
    <row r="189" spans="6:18" hidden="1" x14ac:dyDescent="0.15">
      <c r="I189" s="544">
        <v>2</v>
      </c>
      <c r="J189" s="545">
        <v>0.42</v>
      </c>
    </row>
    <row r="190" spans="6:18" hidden="1" x14ac:dyDescent="0.15">
      <c r="I190" s="544">
        <v>4</v>
      </c>
      <c r="J190" s="545">
        <v>0.53</v>
      </c>
    </row>
    <row r="191" spans="6:18" hidden="1" x14ac:dyDescent="0.15">
      <c r="I191" s="544">
        <v>6</v>
      </c>
      <c r="J191" s="545">
        <v>0.66</v>
      </c>
    </row>
    <row r="192" spans="6:18" hidden="1" x14ac:dyDescent="0.15">
      <c r="I192" s="544">
        <v>8</v>
      </c>
      <c r="J192" s="545">
        <v>0.75</v>
      </c>
    </row>
    <row r="193" spans="6:18" hidden="1" x14ac:dyDescent="0.15">
      <c r="I193" s="544">
        <v>10</v>
      </c>
      <c r="J193" s="545">
        <v>0.9</v>
      </c>
    </row>
    <row r="194" spans="6:18" hidden="1" x14ac:dyDescent="0.15">
      <c r="I194" s="544">
        <v>12</v>
      </c>
      <c r="J194" s="546">
        <v>1</v>
      </c>
    </row>
    <row r="195" spans="6:18" hidden="1" x14ac:dyDescent="0.15"/>
    <row r="196" spans="6:18" hidden="1" x14ac:dyDescent="0.15"/>
    <row r="197" spans="6:18" hidden="1" x14ac:dyDescent="0.15">
      <c r="F197" s="548" t="s">
        <v>1132</v>
      </c>
      <c r="G197" s="548">
        <v>1</v>
      </c>
      <c r="H197" s="548">
        <v>17.7</v>
      </c>
      <c r="I197" s="548">
        <v>1.8</v>
      </c>
      <c r="J197" s="548">
        <v>6</v>
      </c>
      <c r="L197" s="3" t="s">
        <v>1174</v>
      </c>
    </row>
    <row r="198" spans="6:18" hidden="1" x14ac:dyDescent="0.15">
      <c r="F198" s="548" t="s">
        <v>1150</v>
      </c>
      <c r="G198" s="548">
        <v>2</v>
      </c>
      <c r="H198" s="548">
        <v>20.7</v>
      </c>
      <c r="I198" s="548">
        <v>2.1</v>
      </c>
      <c r="J198" s="548">
        <v>7.8</v>
      </c>
      <c r="L198" s="3" t="s">
        <v>1175</v>
      </c>
    </row>
    <row r="199" spans="6:18" hidden="1" x14ac:dyDescent="0.15">
      <c r="F199" s="548" t="s">
        <v>1155</v>
      </c>
      <c r="G199" s="548">
        <v>3</v>
      </c>
      <c r="H199" s="548">
        <v>22.2</v>
      </c>
      <c r="I199" s="548">
        <v>2.4</v>
      </c>
      <c r="J199" s="548">
        <v>9</v>
      </c>
      <c r="L199" s="3" t="s">
        <v>1176</v>
      </c>
    </row>
    <row r="200" spans="6:18" hidden="1" x14ac:dyDescent="0.15">
      <c r="F200" s="548" t="s">
        <v>1156</v>
      </c>
      <c r="G200" s="548">
        <v>4</v>
      </c>
      <c r="H200" s="548">
        <v>22.2</v>
      </c>
      <c r="I200" s="548">
        <v>2.4</v>
      </c>
      <c r="J200" s="548">
        <v>9</v>
      </c>
    </row>
    <row r="201" spans="6:18" hidden="1" x14ac:dyDescent="0.15">
      <c r="F201" s="548" t="s">
        <v>1157</v>
      </c>
      <c r="G201" s="548">
        <v>5</v>
      </c>
      <c r="H201" s="548">
        <v>22.2</v>
      </c>
      <c r="I201" s="551">
        <v>2.4</v>
      </c>
      <c r="J201" s="551">
        <v>9</v>
      </c>
    </row>
    <row r="202" spans="6:18" hidden="1" x14ac:dyDescent="0.15">
      <c r="I202" s="545">
        <f>+VALUE(RIGHT(I161,4))</f>
        <v>0</v>
      </c>
      <c r="J202" s="545">
        <f t="shared" ref="J202:R202" si="53">+VALUE(RIGHT(J161,4))</f>
        <v>0</v>
      </c>
      <c r="K202" s="545">
        <f t="shared" si="53"/>
        <v>0</v>
      </c>
      <c r="L202" s="545">
        <f t="shared" si="53"/>
        <v>0</v>
      </c>
      <c r="M202" s="545">
        <f t="shared" si="53"/>
        <v>0</v>
      </c>
      <c r="N202" s="545">
        <f t="shared" si="53"/>
        <v>0</v>
      </c>
      <c r="O202" s="545">
        <f t="shared" si="53"/>
        <v>0</v>
      </c>
      <c r="P202" s="545">
        <f t="shared" si="53"/>
        <v>0</v>
      </c>
      <c r="Q202" s="545">
        <f t="shared" si="53"/>
        <v>0</v>
      </c>
      <c r="R202" s="545">
        <f t="shared" si="53"/>
        <v>0</v>
      </c>
    </row>
    <row r="203" spans="6:18" hidden="1" x14ac:dyDescent="0.15"/>
    <row r="302" spans="43:52" x14ac:dyDescent="0.15">
      <c r="AR302" s="3" t="s">
        <v>778</v>
      </c>
    </row>
    <row r="303" spans="43:52" x14ac:dyDescent="0.15">
      <c r="AR303" s="3" t="s">
        <v>291</v>
      </c>
      <c r="AT303" s="3" t="s">
        <v>292</v>
      </c>
    </row>
    <row r="304" spans="43:52" x14ac:dyDescent="0.15">
      <c r="AQ304" s="128">
        <v>1</v>
      </c>
      <c r="AR304" s="63">
        <f>+AW304</f>
        <v>4.5</v>
      </c>
      <c r="AS304" s="3">
        <v>60</v>
      </c>
      <c r="AT304" s="3">
        <f>+AY304</f>
        <v>6.75</v>
      </c>
      <c r="AU304" s="3">
        <v>60</v>
      </c>
      <c r="AW304" s="3">
        <f>ROUND((AX304/10-3)*POWER(AX304/10-3,2)/6,2)</f>
        <v>4.5</v>
      </c>
      <c r="AX304" s="3">
        <v>60</v>
      </c>
      <c r="AY304" s="3">
        <f>ROUND((AZ304/10-3)*POWER(AZ304/10-3,3)/12,2)</f>
        <v>6.75</v>
      </c>
      <c r="AZ304" s="3">
        <v>60</v>
      </c>
    </row>
    <row r="305" spans="43:52" x14ac:dyDescent="0.15">
      <c r="AR305" s="63">
        <f t="shared" ref="AR305:AR349" si="54">+AW305</f>
        <v>4.5010000000000003</v>
      </c>
      <c r="AS305" s="3">
        <v>75</v>
      </c>
      <c r="AT305" s="3">
        <f t="shared" ref="AT305:AT349" si="55">+AY305</f>
        <v>6.7510000000000003</v>
      </c>
      <c r="AU305" s="3">
        <v>75</v>
      </c>
      <c r="AW305" s="3">
        <f>+AW304+0.001</f>
        <v>4.5010000000000003</v>
      </c>
      <c r="AX305" s="3">
        <v>75</v>
      </c>
      <c r="AY305" s="3">
        <f>+AY304+0.001</f>
        <v>6.7510000000000003</v>
      </c>
      <c r="AZ305" s="3">
        <v>75</v>
      </c>
    </row>
    <row r="306" spans="43:52" x14ac:dyDescent="0.15">
      <c r="AR306" s="63">
        <f t="shared" si="54"/>
        <v>15.19</v>
      </c>
      <c r="AS306" s="3">
        <v>75</v>
      </c>
      <c r="AT306" s="3">
        <f t="shared" si="55"/>
        <v>34.17</v>
      </c>
      <c r="AU306" s="3">
        <v>75</v>
      </c>
      <c r="AW306" s="3">
        <f>ROUND((AX306/10-3)*POWER(AX306/10-3,2)/6,2)</f>
        <v>15.19</v>
      </c>
      <c r="AX306" s="3">
        <v>75</v>
      </c>
      <c r="AY306" s="3">
        <f>ROUND((AZ306/10-3)*POWER(AZ306/10-3,3)/12,2)</f>
        <v>34.17</v>
      </c>
      <c r="AZ306" s="3">
        <v>75</v>
      </c>
    </row>
    <row r="307" spans="43:52" x14ac:dyDescent="0.15">
      <c r="AR307" s="63">
        <f t="shared" si="54"/>
        <v>15.190999999999999</v>
      </c>
      <c r="AS307" s="3">
        <v>90</v>
      </c>
      <c r="AT307" s="3">
        <f t="shared" si="55"/>
        <v>34.170999999999999</v>
      </c>
      <c r="AU307" s="3">
        <v>90</v>
      </c>
      <c r="AW307" s="3">
        <f>+AW306+0.001</f>
        <v>15.190999999999999</v>
      </c>
      <c r="AX307" s="3">
        <v>90</v>
      </c>
      <c r="AY307" s="3">
        <f>+AY306+0.001</f>
        <v>34.170999999999999</v>
      </c>
      <c r="AZ307" s="3">
        <v>90</v>
      </c>
    </row>
    <row r="308" spans="43:52" x14ac:dyDescent="0.15">
      <c r="AQ308" s="63"/>
      <c r="AR308" s="63">
        <f t="shared" si="54"/>
        <v>36</v>
      </c>
      <c r="AS308" s="3">
        <v>90</v>
      </c>
      <c r="AT308" s="3">
        <f t="shared" si="55"/>
        <v>108</v>
      </c>
      <c r="AU308" s="3">
        <v>90</v>
      </c>
      <c r="AW308" s="3">
        <f>ROUND((AX308/10-3)*POWER(AX308/10-3,2)/6,2)</f>
        <v>36</v>
      </c>
      <c r="AX308" s="3">
        <v>90</v>
      </c>
      <c r="AY308" s="3">
        <f>ROUND((AZ308/10-3)*POWER(AZ308/10-3,3)/12,2)</f>
        <v>108</v>
      </c>
      <c r="AZ308" s="3">
        <v>90</v>
      </c>
    </row>
    <row r="309" spans="43:52" x14ac:dyDescent="0.15">
      <c r="AR309" s="63">
        <f t="shared" si="54"/>
        <v>36.000999999999998</v>
      </c>
      <c r="AS309" s="3">
        <v>105</v>
      </c>
      <c r="AT309" s="3">
        <f t="shared" si="55"/>
        <v>108.001</v>
      </c>
      <c r="AU309" s="3">
        <v>105</v>
      </c>
      <c r="AW309" s="3">
        <f>+AW308+0.001</f>
        <v>36.000999999999998</v>
      </c>
      <c r="AX309" s="3">
        <v>105</v>
      </c>
      <c r="AY309" s="3">
        <f>+AY308+0.001</f>
        <v>108.001</v>
      </c>
      <c r="AZ309" s="3">
        <v>105</v>
      </c>
    </row>
    <row r="310" spans="43:52" x14ac:dyDescent="0.15">
      <c r="AR310" s="63">
        <f t="shared" si="54"/>
        <v>70.31</v>
      </c>
      <c r="AS310" s="3">
        <v>105</v>
      </c>
      <c r="AT310" s="3">
        <f t="shared" si="55"/>
        <v>263.67</v>
      </c>
      <c r="AU310" s="3">
        <v>105</v>
      </c>
      <c r="AW310" s="3">
        <f>ROUND((AX310/10-3)*POWER(AX310/10-3,2)/6,2)</f>
        <v>70.31</v>
      </c>
      <c r="AX310" s="3">
        <v>105</v>
      </c>
      <c r="AY310" s="3">
        <f>ROUND((AZ310/10-3)*POWER(AZ310/10-3,3)/12,2)</f>
        <v>263.67</v>
      </c>
      <c r="AZ310" s="3">
        <v>105</v>
      </c>
    </row>
    <row r="311" spans="43:52" x14ac:dyDescent="0.15">
      <c r="AR311" s="63">
        <f t="shared" si="54"/>
        <v>70.311000000000007</v>
      </c>
      <c r="AS311" s="3">
        <v>120</v>
      </c>
      <c r="AT311" s="3">
        <f t="shared" si="55"/>
        <v>263.67099999999999</v>
      </c>
      <c r="AU311" s="3">
        <v>120</v>
      </c>
      <c r="AW311" s="3">
        <f>+AW310+0.001</f>
        <v>70.311000000000007</v>
      </c>
      <c r="AX311" s="3">
        <v>120</v>
      </c>
      <c r="AY311" s="3">
        <f>+AY310+0.001</f>
        <v>263.67099999999999</v>
      </c>
      <c r="AZ311" s="3">
        <v>120</v>
      </c>
    </row>
    <row r="312" spans="43:52" x14ac:dyDescent="0.15">
      <c r="AR312" s="63">
        <f t="shared" si="54"/>
        <v>121.5</v>
      </c>
      <c r="AS312" s="3">
        <v>120</v>
      </c>
      <c r="AT312" s="3">
        <f t="shared" si="55"/>
        <v>546.75</v>
      </c>
      <c r="AU312" s="3">
        <v>120</v>
      </c>
      <c r="AW312" s="3">
        <f>ROUND((AX312/10-3)*POWER(AX312/10-3,2)/6,2)</f>
        <v>121.5</v>
      </c>
      <c r="AX312" s="3">
        <v>120</v>
      </c>
      <c r="AY312" s="3">
        <f>ROUND((AZ312/10-3)*POWER(AZ312/10-3,3)/12,2)</f>
        <v>546.75</v>
      </c>
      <c r="AZ312" s="3">
        <v>120</v>
      </c>
    </row>
    <row r="313" spans="43:52" x14ac:dyDescent="0.15">
      <c r="AR313" s="63">
        <f t="shared" si="54"/>
        <v>121.501</v>
      </c>
      <c r="AS313" s="3">
        <v>135</v>
      </c>
      <c r="AT313" s="3">
        <f t="shared" si="55"/>
        <v>546.75099999999998</v>
      </c>
      <c r="AU313" s="3">
        <v>135</v>
      </c>
      <c r="AW313" s="3">
        <f>+AW312+0.001</f>
        <v>121.501</v>
      </c>
      <c r="AX313" s="3">
        <v>135</v>
      </c>
      <c r="AY313" s="3">
        <f>+AY312+0.001</f>
        <v>546.75099999999998</v>
      </c>
      <c r="AZ313" s="3">
        <v>135</v>
      </c>
    </row>
    <row r="314" spans="43:52" x14ac:dyDescent="0.15">
      <c r="AR314" s="63">
        <f t="shared" si="54"/>
        <v>192.94</v>
      </c>
      <c r="AS314" s="3">
        <v>135</v>
      </c>
      <c r="AT314" s="3">
        <f t="shared" si="55"/>
        <v>1012.92</v>
      </c>
      <c r="AU314" s="3">
        <v>135</v>
      </c>
      <c r="AW314" s="3">
        <f>ROUND((AX314/10-3)*POWER(AX314/10-3,2)/6,2)</f>
        <v>192.94</v>
      </c>
      <c r="AX314" s="3">
        <v>135</v>
      </c>
      <c r="AY314" s="3">
        <f>ROUND((AZ314/10-3)*POWER(AZ314/10-3,3)/12,2)</f>
        <v>1012.92</v>
      </c>
      <c r="AZ314" s="3">
        <v>135</v>
      </c>
    </row>
    <row r="315" spans="43:52" x14ac:dyDescent="0.15">
      <c r="AR315" s="63">
        <f t="shared" si="54"/>
        <v>192.941</v>
      </c>
      <c r="AS315" s="3">
        <v>150</v>
      </c>
      <c r="AT315" s="3">
        <f t="shared" si="55"/>
        <v>1012.9209999999999</v>
      </c>
      <c r="AU315" s="3">
        <v>150</v>
      </c>
      <c r="AW315" s="3">
        <f>+AW314+0.001</f>
        <v>192.941</v>
      </c>
      <c r="AX315" s="3">
        <v>150</v>
      </c>
      <c r="AY315" s="3">
        <f>+AY314+0.001</f>
        <v>1012.9209999999999</v>
      </c>
      <c r="AZ315" s="3">
        <v>150</v>
      </c>
    </row>
    <row r="316" spans="43:52" x14ac:dyDescent="0.15">
      <c r="AR316" s="63">
        <f t="shared" si="54"/>
        <v>288</v>
      </c>
      <c r="AS316" s="3">
        <v>150</v>
      </c>
      <c r="AT316" s="3">
        <f t="shared" si="55"/>
        <v>1728</v>
      </c>
      <c r="AU316" s="3">
        <v>150</v>
      </c>
      <c r="AW316" s="3">
        <f>ROUND((AX316/10-3)*POWER(AX316/10-3,2)/6,2)</f>
        <v>288</v>
      </c>
      <c r="AX316" s="3">
        <v>150</v>
      </c>
      <c r="AY316" s="3">
        <f>ROUND((AZ316/10-3)*POWER(AZ316/10-3,3)/12,2)</f>
        <v>1728</v>
      </c>
      <c r="AZ316" s="3">
        <v>150</v>
      </c>
    </row>
    <row r="317" spans="43:52" x14ac:dyDescent="0.15">
      <c r="AR317" s="63">
        <f t="shared" si="54"/>
        <v>288.00099999999998</v>
      </c>
      <c r="AS317" s="3">
        <v>180</v>
      </c>
      <c r="AT317" s="3">
        <f t="shared" si="55"/>
        <v>1728.001</v>
      </c>
      <c r="AU317" s="3">
        <v>180</v>
      </c>
      <c r="AW317" s="3">
        <f>+AW316+0.001</f>
        <v>288.00099999999998</v>
      </c>
      <c r="AX317" s="3">
        <v>180</v>
      </c>
      <c r="AY317" s="3">
        <f>+AY316+0.001</f>
        <v>1728.001</v>
      </c>
      <c r="AZ317" s="3">
        <v>180</v>
      </c>
    </row>
    <row r="318" spans="43:52" x14ac:dyDescent="0.15">
      <c r="AR318" s="63">
        <f t="shared" si="54"/>
        <v>487.5</v>
      </c>
      <c r="AS318" s="3">
        <v>180</v>
      </c>
      <c r="AT318" s="3">
        <f t="shared" si="55"/>
        <v>3656.25</v>
      </c>
      <c r="AU318" s="3">
        <v>180</v>
      </c>
      <c r="AW318" s="3">
        <f>ROUND((AX318/10-5)*POWER(AX318/10-3,2)/6,2)</f>
        <v>487.5</v>
      </c>
      <c r="AX318" s="3">
        <v>180</v>
      </c>
      <c r="AY318" s="3">
        <f>ROUND((AZ318/10-5)*POWER(AZ318/10-3,3)/12,2)</f>
        <v>3656.25</v>
      </c>
      <c r="AZ318" s="3">
        <v>180</v>
      </c>
    </row>
    <row r="319" spans="43:52" x14ac:dyDescent="0.15">
      <c r="AR319" s="63">
        <f t="shared" si="54"/>
        <v>487.50099999999998</v>
      </c>
      <c r="AS319" s="3">
        <v>210</v>
      </c>
      <c r="AT319" s="3">
        <f t="shared" si="55"/>
        <v>3656.2510000000002</v>
      </c>
      <c r="AU319" s="3">
        <v>210</v>
      </c>
      <c r="AW319" s="3">
        <f>+AW318+0.001</f>
        <v>487.50099999999998</v>
      </c>
      <c r="AX319" s="3">
        <v>210</v>
      </c>
      <c r="AY319" s="3">
        <f>+AY318+0.001</f>
        <v>3656.2510000000002</v>
      </c>
      <c r="AZ319" s="3">
        <v>210</v>
      </c>
    </row>
    <row r="320" spans="43:52" x14ac:dyDescent="0.15">
      <c r="AR320" s="63">
        <f t="shared" si="54"/>
        <v>864</v>
      </c>
      <c r="AS320" s="3">
        <v>210</v>
      </c>
      <c r="AT320" s="3">
        <f t="shared" si="55"/>
        <v>7776</v>
      </c>
      <c r="AU320" s="3">
        <v>210</v>
      </c>
      <c r="AW320" s="3">
        <f>ROUND((AX320/10-5)*POWER(AX320/10-3,2)/6,2)</f>
        <v>864</v>
      </c>
      <c r="AX320" s="3">
        <v>210</v>
      </c>
      <c r="AY320" s="3">
        <f>ROUND((AZ320/10-5)*POWER(AZ320/10-3,3)/12,2)</f>
        <v>7776</v>
      </c>
      <c r="AZ320" s="3">
        <v>210</v>
      </c>
    </row>
    <row r="321" spans="44:52" x14ac:dyDescent="0.15">
      <c r="AR321" s="63">
        <f t="shared" si="54"/>
        <v>864.00099999999998</v>
      </c>
      <c r="AS321" s="3">
        <v>240</v>
      </c>
      <c r="AT321" s="3">
        <f t="shared" si="55"/>
        <v>7776.0010000000002</v>
      </c>
      <c r="AU321" s="3">
        <v>240</v>
      </c>
      <c r="AW321" s="3">
        <f>+AW320+0.001</f>
        <v>864.00099999999998</v>
      </c>
      <c r="AX321" s="3">
        <v>240</v>
      </c>
      <c r="AY321" s="3">
        <f>+AY320+0.001</f>
        <v>7776.0010000000002</v>
      </c>
      <c r="AZ321" s="3">
        <v>240</v>
      </c>
    </row>
    <row r="322" spans="44:52" x14ac:dyDescent="0.15">
      <c r="AR322" s="63">
        <f t="shared" si="54"/>
        <v>1396.5</v>
      </c>
      <c r="AS322" s="3">
        <f>+AS320+30</f>
        <v>240</v>
      </c>
      <c r="AT322" s="3">
        <f t="shared" si="55"/>
        <v>14663.25</v>
      </c>
      <c r="AU322" s="3">
        <f>+AU320+30</f>
        <v>240</v>
      </c>
      <c r="AW322" s="3">
        <f>ROUND((AX322/10-5)*POWER(AX322/10-3,2)/6,2)</f>
        <v>1396.5</v>
      </c>
      <c r="AX322" s="3">
        <f>+AX320+30</f>
        <v>240</v>
      </c>
      <c r="AY322" s="3">
        <f>ROUND((AZ322/10-5)*POWER(AZ322/10-3,3)/12,2)</f>
        <v>14663.25</v>
      </c>
      <c r="AZ322" s="3">
        <f>+AZ320+30</f>
        <v>240</v>
      </c>
    </row>
    <row r="323" spans="44:52" x14ac:dyDescent="0.15">
      <c r="AR323" s="63">
        <f t="shared" si="54"/>
        <v>1396.501</v>
      </c>
      <c r="AS323" s="3">
        <v>270</v>
      </c>
      <c r="AT323" s="3">
        <f t="shared" si="55"/>
        <v>14663.251</v>
      </c>
      <c r="AU323" s="3">
        <v>270</v>
      </c>
      <c r="AW323" s="3">
        <f>+AW322+0.001</f>
        <v>1396.501</v>
      </c>
      <c r="AX323" s="3">
        <v>270</v>
      </c>
      <c r="AY323" s="3">
        <f>+AY322+0.001</f>
        <v>14663.251</v>
      </c>
      <c r="AZ323" s="3">
        <v>270</v>
      </c>
    </row>
    <row r="324" spans="44:52" x14ac:dyDescent="0.15">
      <c r="AR324" s="63">
        <f t="shared" si="54"/>
        <v>2112</v>
      </c>
      <c r="AS324" s="3">
        <f>+AS322+30</f>
        <v>270</v>
      </c>
      <c r="AT324" s="3">
        <f t="shared" si="55"/>
        <v>25344</v>
      </c>
      <c r="AU324" s="3">
        <f>+AU322+30</f>
        <v>270</v>
      </c>
      <c r="AW324" s="3">
        <f>ROUND((AX324/10-5)*POWER(AX324/10-3,2)/6,2)</f>
        <v>2112</v>
      </c>
      <c r="AX324" s="3">
        <f>+AX322+30</f>
        <v>270</v>
      </c>
      <c r="AY324" s="3">
        <f>ROUND((AZ324/10-5)*POWER(AZ324/10-3,3)/12,2)</f>
        <v>25344</v>
      </c>
      <c r="AZ324" s="3">
        <f>+AZ322+30</f>
        <v>270</v>
      </c>
    </row>
    <row r="325" spans="44:52" x14ac:dyDescent="0.15">
      <c r="AR325" s="63">
        <f t="shared" si="54"/>
        <v>2112.0010000000002</v>
      </c>
      <c r="AS325" s="3">
        <v>300</v>
      </c>
      <c r="AT325" s="3">
        <f t="shared" si="55"/>
        <v>25344.001</v>
      </c>
      <c r="AU325" s="3">
        <v>300</v>
      </c>
      <c r="AW325" s="3">
        <f>+AW324+0.001</f>
        <v>2112.0010000000002</v>
      </c>
      <c r="AX325" s="3">
        <v>300</v>
      </c>
      <c r="AY325" s="3">
        <f>+AY324+0.001</f>
        <v>25344.001</v>
      </c>
      <c r="AZ325" s="3">
        <v>300</v>
      </c>
    </row>
    <row r="326" spans="44:52" x14ac:dyDescent="0.15">
      <c r="AR326" s="63">
        <f t="shared" si="54"/>
        <v>3037.5</v>
      </c>
      <c r="AS326" s="3">
        <f>+AS324+30</f>
        <v>300</v>
      </c>
      <c r="AT326" s="3">
        <f t="shared" si="55"/>
        <v>41006.25</v>
      </c>
      <c r="AU326" s="3">
        <f>+AU324+30</f>
        <v>300</v>
      </c>
      <c r="AW326" s="3">
        <f>ROUND((AX326/10-5)*POWER(AX326/10-3,2)/6,2)</f>
        <v>3037.5</v>
      </c>
      <c r="AX326" s="3">
        <f>+AX324+30</f>
        <v>300</v>
      </c>
      <c r="AY326" s="3">
        <f>ROUND((AZ326/10-5)*POWER(AZ326/10-3,3)/12,2)</f>
        <v>41006.25</v>
      </c>
      <c r="AZ326" s="3">
        <f>+AZ324+30</f>
        <v>300</v>
      </c>
    </row>
    <row r="327" spans="44:52" x14ac:dyDescent="0.15">
      <c r="AR327" s="63">
        <f t="shared" si="54"/>
        <v>3037.5010000000002</v>
      </c>
      <c r="AS327" s="3">
        <v>330</v>
      </c>
      <c r="AT327" s="3">
        <f t="shared" si="55"/>
        <v>41006.250999999997</v>
      </c>
      <c r="AU327" s="3">
        <v>330</v>
      </c>
      <c r="AW327" s="3">
        <f>+AW326+0.001</f>
        <v>3037.5010000000002</v>
      </c>
      <c r="AX327" s="3">
        <v>330</v>
      </c>
      <c r="AY327" s="3">
        <f>+AY326+0.001</f>
        <v>41006.250999999997</v>
      </c>
      <c r="AZ327" s="3">
        <v>330</v>
      </c>
    </row>
    <row r="328" spans="44:52" x14ac:dyDescent="0.15">
      <c r="AR328" s="63">
        <f t="shared" si="54"/>
        <v>4200</v>
      </c>
      <c r="AS328" s="3">
        <f>+AS326+30</f>
        <v>330</v>
      </c>
      <c r="AT328" s="3">
        <f t="shared" si="55"/>
        <v>63000</v>
      </c>
      <c r="AU328" s="3">
        <f>+AU326+30</f>
        <v>330</v>
      </c>
      <c r="AW328" s="3">
        <f>ROUND((AX328/10-5)*POWER(AX328/10-3,2)/6,2)</f>
        <v>4200</v>
      </c>
      <c r="AX328" s="3">
        <f>+AX326+30</f>
        <v>330</v>
      </c>
      <c r="AY328" s="3">
        <f>ROUND((AZ328/10-5)*POWER(AZ328/10-3,3)/12,2)</f>
        <v>63000</v>
      </c>
      <c r="AZ328" s="3">
        <f>+AZ326+30</f>
        <v>330</v>
      </c>
    </row>
    <row r="329" spans="44:52" x14ac:dyDescent="0.15">
      <c r="AR329" s="63">
        <f t="shared" si="54"/>
        <v>4200.0010000000002</v>
      </c>
      <c r="AS329" s="3">
        <f>+AS330</f>
        <v>360</v>
      </c>
      <c r="AT329" s="3">
        <f t="shared" si="55"/>
        <v>63000.000999999997</v>
      </c>
      <c r="AU329" s="3">
        <f>+AU330</f>
        <v>360</v>
      </c>
      <c r="AW329" s="3">
        <f>+AW328+0.001</f>
        <v>4200.0010000000002</v>
      </c>
      <c r="AX329" s="3">
        <f>+AX330</f>
        <v>360</v>
      </c>
      <c r="AY329" s="3">
        <f>+AY328+0.001</f>
        <v>63000.000999999997</v>
      </c>
      <c r="AZ329" s="3">
        <f>+AZ330</f>
        <v>360</v>
      </c>
    </row>
    <row r="330" spans="44:52" x14ac:dyDescent="0.15">
      <c r="AR330" s="63">
        <f t="shared" si="54"/>
        <v>5626.5</v>
      </c>
      <c r="AS330" s="3">
        <f>+AS328+30</f>
        <v>360</v>
      </c>
      <c r="AT330" s="3">
        <f t="shared" si="55"/>
        <v>92837.25</v>
      </c>
      <c r="AU330" s="3">
        <f>+AU328+30</f>
        <v>360</v>
      </c>
      <c r="AW330" s="3">
        <f>ROUND((AX330/10-5)*POWER(AX330/10-3,2)/6,2)</f>
        <v>5626.5</v>
      </c>
      <c r="AX330" s="3">
        <f>+AX328+30</f>
        <v>360</v>
      </c>
      <c r="AY330" s="3">
        <f>ROUND((AZ330/10-5)*POWER(AZ330/10-3,3)/12,2)</f>
        <v>92837.25</v>
      </c>
      <c r="AZ330" s="3">
        <f>+AZ328+30</f>
        <v>360</v>
      </c>
    </row>
    <row r="331" spans="44:52" x14ac:dyDescent="0.15">
      <c r="AR331" s="63">
        <f t="shared" si="54"/>
        <v>5626.5010000000002</v>
      </c>
      <c r="AS331" s="3">
        <f>+AS332</f>
        <v>390</v>
      </c>
      <c r="AT331" s="3">
        <f t="shared" si="55"/>
        <v>92837.251000000004</v>
      </c>
      <c r="AU331" s="3">
        <f>+AU332</f>
        <v>390</v>
      </c>
      <c r="AW331" s="3">
        <f>+AW330+0.001</f>
        <v>5626.5010000000002</v>
      </c>
      <c r="AX331" s="3">
        <f>+AX332</f>
        <v>390</v>
      </c>
      <c r="AY331" s="3">
        <f>+AY330+0.001</f>
        <v>92837.251000000004</v>
      </c>
      <c r="AZ331" s="3">
        <f>+AZ332</f>
        <v>390</v>
      </c>
    </row>
    <row r="332" spans="44:52" x14ac:dyDescent="0.15">
      <c r="AR332" s="63">
        <f t="shared" si="54"/>
        <v>7344</v>
      </c>
      <c r="AS332" s="3">
        <f>+AS330+30</f>
        <v>390</v>
      </c>
      <c r="AT332" s="3">
        <f t="shared" si="55"/>
        <v>132192</v>
      </c>
      <c r="AU332" s="3">
        <f>+AU330+30</f>
        <v>390</v>
      </c>
      <c r="AW332" s="3">
        <f>ROUND((AX332/10-5)*POWER(AX332/10-3,2)/6,2)</f>
        <v>7344</v>
      </c>
      <c r="AX332" s="3">
        <f>+AX330+30</f>
        <v>390</v>
      </c>
      <c r="AY332" s="3">
        <f>ROUND((AZ332/10-5)*POWER(AZ332/10-3,3)/12,2)</f>
        <v>132192</v>
      </c>
      <c r="AZ332" s="3">
        <f>+AZ330+30</f>
        <v>390</v>
      </c>
    </row>
    <row r="333" spans="44:52" x14ac:dyDescent="0.15">
      <c r="AR333" s="63">
        <f t="shared" si="54"/>
        <v>7344.0010000000002</v>
      </c>
      <c r="AS333" s="3">
        <f>+AS334</f>
        <v>420</v>
      </c>
      <c r="AT333" s="3">
        <f t="shared" si="55"/>
        <v>132192.00099999999</v>
      </c>
      <c r="AU333" s="3">
        <f>+AU334</f>
        <v>420</v>
      </c>
      <c r="AW333" s="3">
        <f>+AW332+0.001</f>
        <v>7344.0010000000002</v>
      </c>
      <c r="AX333" s="3">
        <f>+AX334</f>
        <v>420</v>
      </c>
      <c r="AY333" s="3">
        <f>+AY332+0.001</f>
        <v>132192.00099999999</v>
      </c>
      <c r="AZ333" s="3">
        <f>+AZ334</f>
        <v>420</v>
      </c>
    </row>
    <row r="334" spans="44:52" x14ac:dyDescent="0.15">
      <c r="AR334" s="63">
        <f t="shared" si="54"/>
        <v>9379.5</v>
      </c>
      <c r="AS334" s="3">
        <f>+AS332+30</f>
        <v>420</v>
      </c>
      <c r="AT334" s="3">
        <f t="shared" si="55"/>
        <v>182900.25</v>
      </c>
      <c r="AU334" s="3">
        <f>+AU332+30</f>
        <v>420</v>
      </c>
      <c r="AW334" s="3">
        <f>ROUND((AX334/10-5)*POWER(AX334/10-3,2)/6,2)</f>
        <v>9379.5</v>
      </c>
      <c r="AX334" s="3">
        <f>+AX332+30</f>
        <v>420</v>
      </c>
      <c r="AY334" s="3">
        <f>ROUND((AZ334/10-5)*POWER(AZ334/10-3,3)/12,2)</f>
        <v>182900.25</v>
      </c>
      <c r="AZ334" s="3">
        <f>+AZ332+30</f>
        <v>420</v>
      </c>
    </row>
    <row r="335" spans="44:52" x14ac:dyDescent="0.15">
      <c r="AR335" s="63">
        <f t="shared" si="54"/>
        <v>9379.5010000000002</v>
      </c>
      <c r="AS335" s="3">
        <f>+AS336</f>
        <v>450</v>
      </c>
      <c r="AT335" s="3">
        <f t="shared" si="55"/>
        <v>182900.25099999999</v>
      </c>
      <c r="AU335" s="3">
        <f>+AU336</f>
        <v>450</v>
      </c>
      <c r="AW335" s="3">
        <f>+AW334+0.001</f>
        <v>9379.5010000000002</v>
      </c>
      <c r="AX335" s="3">
        <f>+AX336</f>
        <v>450</v>
      </c>
      <c r="AY335" s="3">
        <f>+AY334+0.001</f>
        <v>182900.25099999999</v>
      </c>
      <c r="AZ335" s="3">
        <f>+AZ336</f>
        <v>450</v>
      </c>
    </row>
    <row r="336" spans="44:52" x14ac:dyDescent="0.15">
      <c r="AR336" s="63">
        <f t="shared" si="54"/>
        <v>11760</v>
      </c>
      <c r="AS336" s="3">
        <f>+AS334+30</f>
        <v>450</v>
      </c>
      <c r="AT336" s="3">
        <f t="shared" si="55"/>
        <v>246960</v>
      </c>
      <c r="AU336" s="3">
        <f>+AU334+30</f>
        <v>450</v>
      </c>
      <c r="AW336" s="3">
        <f>ROUND((AX336/10-5)*POWER(AX336/10-3,2)/6,2)</f>
        <v>11760</v>
      </c>
      <c r="AX336" s="3">
        <f>+AX334+30</f>
        <v>450</v>
      </c>
      <c r="AY336" s="3">
        <f>ROUND((AZ336/10-5)*POWER(AZ336/10-3,3)/12,2)</f>
        <v>246960</v>
      </c>
      <c r="AZ336" s="3">
        <f>+AZ334+30</f>
        <v>450</v>
      </c>
    </row>
    <row r="337" spans="43:52" x14ac:dyDescent="0.15">
      <c r="AR337" s="63">
        <f t="shared" si="54"/>
        <v>11760.001</v>
      </c>
      <c r="AS337" s="3">
        <f>+AS338</f>
        <v>480</v>
      </c>
      <c r="AT337" s="3">
        <f t="shared" si="55"/>
        <v>246960.00099999999</v>
      </c>
      <c r="AU337" s="3">
        <f>+AU338</f>
        <v>480</v>
      </c>
      <c r="AW337" s="3">
        <f>+AW336+0.001</f>
        <v>11760.001</v>
      </c>
      <c r="AX337" s="3">
        <f>+AX338</f>
        <v>480</v>
      </c>
      <c r="AY337" s="3">
        <f>+AY336+0.001</f>
        <v>246960.00099999999</v>
      </c>
      <c r="AZ337" s="3">
        <f>+AZ338</f>
        <v>480</v>
      </c>
    </row>
    <row r="338" spans="43:52" x14ac:dyDescent="0.15">
      <c r="AR338" s="63">
        <f t="shared" si="54"/>
        <v>14512.5</v>
      </c>
      <c r="AS338" s="3">
        <f>+AS336+30</f>
        <v>480</v>
      </c>
      <c r="AT338" s="3">
        <f t="shared" si="55"/>
        <v>326531.25</v>
      </c>
      <c r="AU338" s="3">
        <f>+AU336+30</f>
        <v>480</v>
      </c>
      <c r="AW338" s="3">
        <f>ROUND((AX338/10-5)*POWER(AX338/10-3,2)/6,2)</f>
        <v>14512.5</v>
      </c>
      <c r="AX338" s="3">
        <f>+AX336+30</f>
        <v>480</v>
      </c>
      <c r="AY338" s="3">
        <f>ROUND((AZ338/10-5)*POWER(AZ338/10-3,3)/12,2)</f>
        <v>326531.25</v>
      </c>
      <c r="AZ338" s="3">
        <f>+AZ336+30</f>
        <v>480</v>
      </c>
    </row>
    <row r="339" spans="43:52" x14ac:dyDescent="0.15">
      <c r="AR339" s="63">
        <f t="shared" si="54"/>
        <v>14512.501</v>
      </c>
      <c r="AS339" s="3">
        <f>+AS340</f>
        <v>510</v>
      </c>
      <c r="AT339" s="3">
        <f t="shared" si="55"/>
        <v>326531.25099999999</v>
      </c>
      <c r="AU339" s="3">
        <f>+AU340</f>
        <v>510</v>
      </c>
      <c r="AW339" s="3">
        <f>+AW338+0.001</f>
        <v>14512.501</v>
      </c>
      <c r="AX339" s="3">
        <f>+AX340</f>
        <v>510</v>
      </c>
      <c r="AY339" s="3">
        <f>+AY338+0.001</f>
        <v>326531.25099999999</v>
      </c>
      <c r="AZ339" s="3">
        <f>+AZ340</f>
        <v>510</v>
      </c>
    </row>
    <row r="340" spans="43:52" x14ac:dyDescent="0.15">
      <c r="AR340" s="63">
        <f t="shared" si="54"/>
        <v>17664</v>
      </c>
      <c r="AS340" s="3">
        <f>+AS338+30</f>
        <v>510</v>
      </c>
      <c r="AT340" s="3">
        <f t="shared" si="55"/>
        <v>423936</v>
      </c>
      <c r="AU340" s="3">
        <f>+AU338+30</f>
        <v>510</v>
      </c>
      <c r="AW340" s="3">
        <f>ROUND((AX340/10-5)*POWER(AX340/10-3,2)/6,2)</f>
        <v>17664</v>
      </c>
      <c r="AX340" s="3">
        <f>+AX338+30</f>
        <v>510</v>
      </c>
      <c r="AY340" s="3">
        <f>ROUND((AZ340/10-5)*POWER(AZ340/10-3,3)/12,2)</f>
        <v>423936</v>
      </c>
      <c r="AZ340" s="3">
        <f>+AZ338+30</f>
        <v>510</v>
      </c>
    </row>
    <row r="341" spans="43:52" x14ac:dyDescent="0.15">
      <c r="AR341" s="63">
        <f t="shared" si="54"/>
        <v>17664.001</v>
      </c>
      <c r="AS341" s="3">
        <f>+AS342</f>
        <v>540</v>
      </c>
      <c r="AT341" s="3">
        <f t="shared" si="55"/>
        <v>423936.00099999999</v>
      </c>
      <c r="AU341" s="3">
        <f>+AU342</f>
        <v>540</v>
      </c>
      <c r="AW341" s="3">
        <f>+AW340+0.001</f>
        <v>17664.001</v>
      </c>
      <c r="AX341" s="3">
        <f>+AX342</f>
        <v>540</v>
      </c>
      <c r="AY341" s="3">
        <f>+AY340+0.001</f>
        <v>423936.00099999999</v>
      </c>
      <c r="AZ341" s="3">
        <f>+AZ342</f>
        <v>540</v>
      </c>
    </row>
    <row r="342" spans="43:52" x14ac:dyDescent="0.15">
      <c r="AR342" s="63">
        <f t="shared" si="54"/>
        <v>21241.5</v>
      </c>
      <c r="AS342" s="3">
        <f>+AS340+30</f>
        <v>540</v>
      </c>
      <c r="AT342" s="3">
        <f t="shared" si="55"/>
        <v>541658.25</v>
      </c>
      <c r="AU342" s="3">
        <f>+AU340+30</f>
        <v>540</v>
      </c>
      <c r="AW342" s="3">
        <f>ROUND((AX342/10-5)*POWER(AX342/10-3,2)/6,2)</f>
        <v>21241.5</v>
      </c>
      <c r="AX342" s="3">
        <f>+AX340+30</f>
        <v>540</v>
      </c>
      <c r="AY342" s="3">
        <f>ROUND((AZ342/10-5)*POWER(AZ342/10-3,3)/12,2)</f>
        <v>541658.25</v>
      </c>
      <c r="AZ342" s="3">
        <f>+AZ340+30</f>
        <v>540</v>
      </c>
    </row>
    <row r="343" spans="43:52" x14ac:dyDescent="0.15">
      <c r="AR343" s="63">
        <f t="shared" si="54"/>
        <v>21241.501</v>
      </c>
      <c r="AS343" s="3">
        <f>+AS344</f>
        <v>570</v>
      </c>
      <c r="AT343" s="3">
        <f t="shared" si="55"/>
        <v>541658.25100000005</v>
      </c>
      <c r="AU343" s="3">
        <f>+AU344</f>
        <v>570</v>
      </c>
      <c r="AW343" s="3">
        <f>+AW342+0.001</f>
        <v>21241.501</v>
      </c>
      <c r="AX343" s="3">
        <f>+AX344</f>
        <v>570</v>
      </c>
      <c r="AY343" s="3">
        <f>+AY342+0.001</f>
        <v>541658.25100000005</v>
      </c>
      <c r="AZ343" s="3">
        <f>+AZ344</f>
        <v>570</v>
      </c>
    </row>
    <row r="344" spans="43:52" x14ac:dyDescent="0.15">
      <c r="AR344" s="63">
        <f t="shared" si="54"/>
        <v>25272</v>
      </c>
      <c r="AS344" s="3">
        <f>+AS342+30</f>
        <v>570</v>
      </c>
      <c r="AT344" s="3">
        <f t="shared" si="55"/>
        <v>682344</v>
      </c>
      <c r="AU344" s="3">
        <f>+AU342+30</f>
        <v>570</v>
      </c>
      <c r="AW344" s="3">
        <f>ROUND((AX344/10-5)*POWER(AX344/10-3,2)/6,2)</f>
        <v>25272</v>
      </c>
      <c r="AX344" s="3">
        <f>+AX342+30</f>
        <v>570</v>
      </c>
      <c r="AY344" s="3">
        <f>ROUND((AZ344/10-5)*POWER(AZ344/10-3,3)/12,2)</f>
        <v>682344</v>
      </c>
      <c r="AZ344" s="3">
        <f>+AZ342+30</f>
        <v>570</v>
      </c>
    </row>
    <row r="345" spans="43:52" x14ac:dyDescent="0.15">
      <c r="AR345" s="63">
        <f t="shared" si="54"/>
        <v>25272.001</v>
      </c>
      <c r="AS345" s="3">
        <f>+AS346</f>
        <v>600</v>
      </c>
      <c r="AT345" s="3">
        <f t="shared" si="55"/>
        <v>682344.00100000005</v>
      </c>
      <c r="AU345" s="3">
        <f>+AU346</f>
        <v>600</v>
      </c>
      <c r="AW345" s="3">
        <f>+AW344+0.001</f>
        <v>25272.001</v>
      </c>
      <c r="AX345" s="3">
        <f>+AX346</f>
        <v>600</v>
      </c>
      <c r="AY345" s="3">
        <f>+AY344+0.001</f>
        <v>682344.00100000005</v>
      </c>
      <c r="AZ345" s="3">
        <f>+AZ346</f>
        <v>600</v>
      </c>
    </row>
    <row r="346" spans="43:52" x14ac:dyDescent="0.15">
      <c r="AR346" s="63">
        <f t="shared" si="54"/>
        <v>29782.5</v>
      </c>
      <c r="AS346" s="3">
        <f>+AS344+30</f>
        <v>600</v>
      </c>
      <c r="AT346" s="3">
        <f t="shared" si="55"/>
        <v>848801.25</v>
      </c>
      <c r="AU346" s="3">
        <f>+AU344+30</f>
        <v>600</v>
      </c>
      <c r="AW346" s="3">
        <f>ROUND((AX346/10-5)*POWER(AX346/10-3,2)/6,2)</f>
        <v>29782.5</v>
      </c>
      <c r="AX346" s="3">
        <f>+AX344+30</f>
        <v>600</v>
      </c>
      <c r="AY346" s="3">
        <f>ROUND((AZ346/10-5)*POWER(AZ346/10-3,3)/12,2)</f>
        <v>848801.25</v>
      </c>
      <c r="AZ346" s="3">
        <f>+AZ344+30</f>
        <v>600</v>
      </c>
    </row>
    <row r="347" spans="43:52" x14ac:dyDescent="0.15">
      <c r="AR347" s="63">
        <f t="shared" si="54"/>
        <v>29782.501</v>
      </c>
      <c r="AS347" s="3">
        <f>+AS348</f>
        <v>630</v>
      </c>
      <c r="AT347" s="3">
        <f t="shared" si="55"/>
        <v>848801.25100000005</v>
      </c>
      <c r="AU347" s="3">
        <f>+AU348</f>
        <v>630</v>
      </c>
      <c r="AW347" s="3">
        <f>+AW346+0.001</f>
        <v>29782.501</v>
      </c>
      <c r="AX347" s="3">
        <f>+AX348</f>
        <v>630</v>
      </c>
      <c r="AY347" s="3">
        <f>+AY346+0.001</f>
        <v>848801.25100000005</v>
      </c>
      <c r="AZ347" s="3">
        <f>+AZ348</f>
        <v>630</v>
      </c>
    </row>
    <row r="348" spans="43:52" x14ac:dyDescent="0.15">
      <c r="AR348" s="63">
        <f t="shared" si="54"/>
        <v>34800</v>
      </c>
      <c r="AS348" s="3">
        <f>+AS346+30</f>
        <v>630</v>
      </c>
      <c r="AT348" s="3">
        <f t="shared" si="55"/>
        <v>1044000</v>
      </c>
      <c r="AU348" s="3">
        <f>+AU346+30</f>
        <v>630</v>
      </c>
      <c r="AW348" s="3">
        <f>ROUND((AX348/10-5)*POWER(AX348/10-3,2)/6,2)</f>
        <v>34800</v>
      </c>
      <c r="AX348" s="3">
        <f>+AX346+30</f>
        <v>630</v>
      </c>
      <c r="AY348" s="3">
        <f>ROUND((AZ348/10-5)*POWER(AZ348/10-3,3)/12,2)</f>
        <v>1044000</v>
      </c>
      <c r="AZ348" s="3">
        <f>+AZ346+30</f>
        <v>630</v>
      </c>
    </row>
    <row r="349" spans="43:52" x14ac:dyDescent="0.15">
      <c r="AR349" s="63">
        <f t="shared" si="54"/>
        <v>34800.000999999997</v>
      </c>
      <c r="AS349" s="3">
        <v>0</v>
      </c>
      <c r="AT349" s="3">
        <f t="shared" si="55"/>
        <v>1044000.001</v>
      </c>
      <c r="AU349" s="3">
        <v>0</v>
      </c>
      <c r="AW349" s="3">
        <f>+AW348+0.001</f>
        <v>34800.000999999997</v>
      </c>
      <c r="AY349" s="3">
        <f>+AY348+0.001</f>
        <v>1044000.001</v>
      </c>
    </row>
    <row r="351" spans="43:52" x14ac:dyDescent="0.15">
      <c r="AQ351" s="3">
        <v>0.9</v>
      </c>
      <c r="AR351" s="63">
        <f>+AW351*0.9</f>
        <v>4.05</v>
      </c>
      <c r="AS351" s="3">
        <v>60</v>
      </c>
      <c r="AT351" s="63">
        <f>+AY351*0.9</f>
        <v>6.0750000000000002</v>
      </c>
      <c r="AU351" s="3">
        <v>60</v>
      </c>
      <c r="AW351" s="3">
        <f>ROUND((AX351/10-3)*POWER(AX351/10-3,2)/6,2)</f>
        <v>4.5</v>
      </c>
      <c r="AX351" s="3">
        <v>60</v>
      </c>
      <c r="AY351" s="3">
        <f>ROUND((AZ351/10-3)*POWER(AZ351/10-3,3)/12,2)</f>
        <v>6.75</v>
      </c>
      <c r="AZ351" s="3">
        <v>60</v>
      </c>
    </row>
    <row r="352" spans="43:52" x14ac:dyDescent="0.15">
      <c r="AR352" s="63">
        <f t="shared" ref="AR352:AR396" si="56">+AW352*0.9</f>
        <v>4.0509000000000004</v>
      </c>
      <c r="AS352" s="3">
        <v>75</v>
      </c>
      <c r="AT352" s="63">
        <f t="shared" ref="AT352:AT396" si="57">+AY352*0.9</f>
        <v>6.0759000000000007</v>
      </c>
      <c r="AU352" s="3">
        <v>75</v>
      </c>
      <c r="AW352" s="3">
        <f>+AW351+0.001</f>
        <v>4.5010000000000003</v>
      </c>
      <c r="AX352" s="3">
        <v>75</v>
      </c>
      <c r="AY352" s="3">
        <f>+AY351+0.001</f>
        <v>6.7510000000000003</v>
      </c>
      <c r="AZ352" s="3">
        <v>75</v>
      </c>
    </row>
    <row r="353" spans="7:52" x14ac:dyDescent="0.15">
      <c r="AR353" s="63">
        <f t="shared" si="56"/>
        <v>13.670999999999999</v>
      </c>
      <c r="AS353" s="3">
        <v>75</v>
      </c>
      <c r="AT353" s="63">
        <f t="shared" si="57"/>
        <v>30.753000000000004</v>
      </c>
      <c r="AU353" s="3">
        <v>75</v>
      </c>
      <c r="AW353" s="3">
        <f>ROUND((AX353/10-3)*POWER(AX353/10-3,2)/6,2)</f>
        <v>15.19</v>
      </c>
      <c r="AX353" s="3">
        <v>75</v>
      </c>
      <c r="AY353" s="3">
        <f>ROUND((AZ353/10-3)*POWER(AZ353/10-3,3)/12,2)</f>
        <v>34.17</v>
      </c>
      <c r="AZ353" s="3">
        <v>75</v>
      </c>
    </row>
    <row r="354" spans="7:52" x14ac:dyDescent="0.15">
      <c r="AR354" s="63">
        <f t="shared" si="56"/>
        <v>13.671899999999999</v>
      </c>
      <c r="AS354" s="3">
        <v>90</v>
      </c>
      <c r="AT354" s="63">
        <f t="shared" si="57"/>
        <v>30.753900000000002</v>
      </c>
      <c r="AU354" s="3">
        <v>90</v>
      </c>
      <c r="AW354" s="3">
        <f>+AW353+0.001</f>
        <v>15.190999999999999</v>
      </c>
      <c r="AX354" s="3">
        <v>90</v>
      </c>
      <c r="AY354" s="3">
        <f>+AY353+0.001</f>
        <v>34.170999999999999</v>
      </c>
      <c r="AZ354" s="3">
        <v>90</v>
      </c>
    </row>
    <row r="355" spans="7:52" x14ac:dyDescent="0.15">
      <c r="AR355" s="63">
        <f t="shared" si="56"/>
        <v>32.4</v>
      </c>
      <c r="AS355" s="3">
        <v>90</v>
      </c>
      <c r="AT355" s="63">
        <f t="shared" si="57"/>
        <v>97.2</v>
      </c>
      <c r="AU355" s="3">
        <v>90</v>
      </c>
      <c r="AW355" s="3">
        <f>ROUND((AX355/10-3)*POWER(AX355/10-3,2)/6,2)</f>
        <v>36</v>
      </c>
      <c r="AX355" s="3">
        <v>90</v>
      </c>
      <c r="AY355" s="3">
        <f>ROUND((AZ355/10-3)*POWER(AZ355/10-3,3)/12,2)</f>
        <v>108</v>
      </c>
      <c r="AZ355" s="3">
        <v>90</v>
      </c>
    </row>
    <row r="356" spans="7:52" x14ac:dyDescent="0.15">
      <c r="AR356" s="63">
        <f t="shared" si="56"/>
        <v>32.4009</v>
      </c>
      <c r="AS356" s="3">
        <v>105</v>
      </c>
      <c r="AT356" s="63">
        <f t="shared" si="57"/>
        <v>97.200900000000004</v>
      </c>
      <c r="AU356" s="3">
        <v>105</v>
      </c>
      <c r="AW356" s="3">
        <f>+AW355+0.001</f>
        <v>36.000999999999998</v>
      </c>
      <c r="AX356" s="3">
        <v>105</v>
      </c>
      <c r="AY356" s="3">
        <f>+AY355+0.001</f>
        <v>108.001</v>
      </c>
      <c r="AZ356" s="3">
        <v>105</v>
      </c>
    </row>
    <row r="357" spans="7:52" x14ac:dyDescent="0.15">
      <c r="AR357" s="63">
        <f t="shared" si="56"/>
        <v>63.279000000000003</v>
      </c>
      <c r="AS357" s="3">
        <v>105</v>
      </c>
      <c r="AT357" s="63">
        <f t="shared" si="57"/>
        <v>237.30300000000003</v>
      </c>
      <c r="AU357" s="3">
        <v>105</v>
      </c>
      <c r="AW357" s="3">
        <f>ROUND((AX357/10-3)*POWER(AX357/10-3,2)/6,2)</f>
        <v>70.31</v>
      </c>
      <c r="AX357" s="3">
        <v>105</v>
      </c>
      <c r="AY357" s="3">
        <f>ROUND((AZ357/10-3)*POWER(AZ357/10-3,3)/12,2)</f>
        <v>263.67</v>
      </c>
      <c r="AZ357" s="3">
        <v>105</v>
      </c>
    </row>
    <row r="358" spans="7:52" x14ac:dyDescent="0.15">
      <c r="AR358" s="63">
        <f t="shared" si="56"/>
        <v>63.279900000000005</v>
      </c>
      <c r="AS358" s="3">
        <v>120</v>
      </c>
      <c r="AT358" s="63">
        <f t="shared" si="57"/>
        <v>237.3039</v>
      </c>
      <c r="AU358" s="3">
        <v>120</v>
      </c>
      <c r="AW358" s="3">
        <f>+AW357+0.001</f>
        <v>70.311000000000007</v>
      </c>
      <c r="AX358" s="3">
        <v>120</v>
      </c>
      <c r="AY358" s="3">
        <f>+AY357+0.001</f>
        <v>263.67099999999999</v>
      </c>
      <c r="AZ358" s="3">
        <v>120</v>
      </c>
    </row>
    <row r="359" spans="7:52" x14ac:dyDescent="0.15">
      <c r="AR359" s="63">
        <f t="shared" si="56"/>
        <v>109.35000000000001</v>
      </c>
      <c r="AS359" s="3">
        <v>120</v>
      </c>
      <c r="AT359" s="63">
        <f t="shared" si="57"/>
        <v>492.07499999999999</v>
      </c>
      <c r="AU359" s="3">
        <v>120</v>
      </c>
      <c r="AW359" s="3">
        <f>ROUND((AX359/10-3)*POWER(AX359/10-3,2)/6,2)</f>
        <v>121.5</v>
      </c>
      <c r="AX359" s="3">
        <v>120</v>
      </c>
      <c r="AY359" s="3">
        <f>ROUND((AZ359/10-3)*POWER(AZ359/10-3,3)/12,2)</f>
        <v>546.75</v>
      </c>
      <c r="AZ359" s="3">
        <v>120</v>
      </c>
    </row>
    <row r="360" spans="7:52" x14ac:dyDescent="0.15">
      <c r="AR360" s="63">
        <f t="shared" si="56"/>
        <v>109.35090000000001</v>
      </c>
      <c r="AS360" s="3">
        <v>135</v>
      </c>
      <c r="AT360" s="63">
        <f t="shared" si="57"/>
        <v>492.07589999999999</v>
      </c>
      <c r="AU360" s="3">
        <v>135</v>
      </c>
      <c r="AW360" s="3">
        <f>+AW359+0.001</f>
        <v>121.501</v>
      </c>
      <c r="AX360" s="3">
        <v>135</v>
      </c>
      <c r="AY360" s="3">
        <f>+AY359+0.001</f>
        <v>546.75099999999998</v>
      </c>
      <c r="AZ360" s="3">
        <v>135</v>
      </c>
    </row>
    <row r="361" spans="7:52" x14ac:dyDescent="0.15">
      <c r="AR361" s="63">
        <f t="shared" si="56"/>
        <v>173.64600000000002</v>
      </c>
      <c r="AS361" s="3">
        <v>135</v>
      </c>
      <c r="AT361" s="63">
        <f t="shared" si="57"/>
        <v>911.62799999999993</v>
      </c>
      <c r="AU361" s="3">
        <v>135</v>
      </c>
      <c r="AW361" s="3">
        <f>ROUND((AX361/10-3)*POWER(AX361/10-3,2)/6,2)</f>
        <v>192.94</v>
      </c>
      <c r="AX361" s="3">
        <v>135</v>
      </c>
      <c r="AY361" s="3">
        <f>ROUND((AZ361/10-3)*POWER(AZ361/10-3,3)/12,2)</f>
        <v>1012.92</v>
      </c>
      <c r="AZ361" s="3">
        <v>135</v>
      </c>
    </row>
    <row r="362" spans="7:52" x14ac:dyDescent="0.15">
      <c r="AR362" s="63">
        <f t="shared" si="56"/>
        <v>173.64690000000002</v>
      </c>
      <c r="AS362" s="3">
        <v>150</v>
      </c>
      <c r="AT362" s="63">
        <f t="shared" si="57"/>
        <v>911.62889999999993</v>
      </c>
      <c r="AU362" s="3">
        <v>150</v>
      </c>
      <c r="AW362" s="3">
        <f>+AW361+0.001</f>
        <v>192.941</v>
      </c>
      <c r="AX362" s="3">
        <v>150</v>
      </c>
      <c r="AY362" s="3">
        <f>+AY361+0.001</f>
        <v>1012.9209999999999</v>
      </c>
      <c r="AZ362" s="3">
        <v>150</v>
      </c>
    </row>
    <row r="363" spans="7:52" x14ac:dyDescent="0.15">
      <c r="AR363" s="63">
        <f t="shared" si="56"/>
        <v>259.2</v>
      </c>
      <c r="AS363" s="3">
        <v>150</v>
      </c>
      <c r="AT363" s="63">
        <f t="shared" si="57"/>
        <v>1555.2</v>
      </c>
      <c r="AU363" s="3">
        <v>150</v>
      </c>
      <c r="AW363" s="3">
        <f>ROUND((AX363/10-3)*POWER(AX363/10-3,2)/6,2)</f>
        <v>288</v>
      </c>
      <c r="AX363" s="3">
        <v>150</v>
      </c>
      <c r="AY363" s="3">
        <f>ROUND((AZ363/10-3)*POWER(AZ363/10-3,3)/12,2)</f>
        <v>1728</v>
      </c>
      <c r="AZ363" s="3">
        <v>150</v>
      </c>
    </row>
    <row r="364" spans="7:52" x14ac:dyDescent="0.15">
      <c r="AR364" s="63">
        <f t="shared" si="56"/>
        <v>259.20089999999999</v>
      </c>
      <c r="AS364" s="3">
        <v>180</v>
      </c>
      <c r="AT364" s="63">
        <f t="shared" si="57"/>
        <v>1555.2009</v>
      </c>
      <c r="AU364" s="3">
        <v>180</v>
      </c>
      <c r="AW364" s="3">
        <f>+AW363+0.001</f>
        <v>288.00099999999998</v>
      </c>
      <c r="AX364" s="3">
        <v>180</v>
      </c>
      <c r="AY364" s="3">
        <f>+AY363+0.001</f>
        <v>1728.001</v>
      </c>
      <c r="AZ364" s="3">
        <v>180</v>
      </c>
    </row>
    <row r="365" spans="7:52" x14ac:dyDescent="0.15">
      <c r="AR365" s="63">
        <f t="shared" si="56"/>
        <v>438.75</v>
      </c>
      <c r="AS365" s="3">
        <v>180</v>
      </c>
      <c r="AT365" s="63">
        <f t="shared" si="57"/>
        <v>3290.625</v>
      </c>
      <c r="AU365" s="3">
        <v>180</v>
      </c>
      <c r="AW365" s="3">
        <f>ROUND((AX365/10-5)*POWER(AX365/10-3,2)/6,2)</f>
        <v>487.5</v>
      </c>
      <c r="AX365" s="3">
        <v>180</v>
      </c>
      <c r="AY365" s="3">
        <f>ROUND((AZ365/10-5)*POWER(AZ365/10-3,3)/12,2)</f>
        <v>3656.25</v>
      </c>
      <c r="AZ365" s="3">
        <v>180</v>
      </c>
    </row>
    <row r="366" spans="7:52" x14ac:dyDescent="0.15">
      <c r="AR366" s="63">
        <f t="shared" si="56"/>
        <v>438.7509</v>
      </c>
      <c r="AS366" s="3">
        <v>210</v>
      </c>
      <c r="AT366" s="63">
        <f t="shared" si="57"/>
        <v>3290.6259000000005</v>
      </c>
      <c r="AU366" s="3">
        <v>210</v>
      </c>
      <c r="AW366" s="3">
        <f>+AW365+0.001</f>
        <v>487.50099999999998</v>
      </c>
      <c r="AX366" s="3">
        <v>210</v>
      </c>
      <c r="AY366" s="3">
        <f>+AY365+0.001</f>
        <v>3656.2510000000002</v>
      </c>
      <c r="AZ366" s="3">
        <v>210</v>
      </c>
    </row>
    <row r="367" spans="7:52" x14ac:dyDescent="0.15">
      <c r="AR367" s="63">
        <f t="shared" si="56"/>
        <v>777.6</v>
      </c>
      <c r="AS367" s="3">
        <v>210</v>
      </c>
      <c r="AT367" s="63">
        <f t="shared" si="57"/>
        <v>6998.4000000000005</v>
      </c>
      <c r="AU367" s="3">
        <v>210</v>
      </c>
      <c r="AW367" s="3">
        <f>ROUND((AX367/10-5)*POWER(AX367/10-3,2)/6,2)</f>
        <v>864</v>
      </c>
      <c r="AX367" s="3">
        <v>210</v>
      </c>
      <c r="AY367" s="3">
        <f>ROUND((AZ367/10-5)*POWER(AZ367/10-3,3)/12,2)</f>
        <v>7776</v>
      </c>
      <c r="AZ367" s="3">
        <v>210</v>
      </c>
    </row>
    <row r="368" spans="7:52" hidden="1" x14ac:dyDescent="0.15">
      <c r="G368" s="3" t="s">
        <v>610</v>
      </c>
      <c r="AR368" s="63">
        <f t="shared" si="56"/>
        <v>777.60090000000002</v>
      </c>
      <c r="AS368" s="3">
        <v>240</v>
      </c>
      <c r="AT368" s="63">
        <f t="shared" si="57"/>
        <v>6998.4009000000005</v>
      </c>
      <c r="AU368" s="3">
        <v>240</v>
      </c>
      <c r="AW368" s="3">
        <f>+AW367+0.001</f>
        <v>864.00099999999998</v>
      </c>
      <c r="AX368" s="3">
        <v>240</v>
      </c>
      <c r="AY368" s="3">
        <f>+AY367+0.001</f>
        <v>7776.0010000000002</v>
      </c>
      <c r="AZ368" s="3">
        <v>240</v>
      </c>
    </row>
    <row r="369" spans="7:52" hidden="1" x14ac:dyDescent="0.15">
      <c r="G369" s="3" t="s">
        <v>611</v>
      </c>
      <c r="AR369" s="63">
        <f t="shared" si="56"/>
        <v>1256.8500000000001</v>
      </c>
      <c r="AS369" s="3">
        <f>+AS367+30</f>
        <v>240</v>
      </c>
      <c r="AT369" s="63">
        <f t="shared" si="57"/>
        <v>13196.925000000001</v>
      </c>
      <c r="AU369" s="3">
        <f>+AU367+30</f>
        <v>240</v>
      </c>
      <c r="AW369" s="3">
        <f>ROUND((AX369/10-5)*POWER(AX369/10-3,2)/6,2)</f>
        <v>1396.5</v>
      </c>
      <c r="AX369" s="3">
        <f>+AX367+30</f>
        <v>240</v>
      </c>
      <c r="AY369" s="3">
        <f>ROUND((AZ369/10-5)*POWER(AZ369/10-3,3)/12,2)</f>
        <v>14663.25</v>
      </c>
      <c r="AZ369" s="3">
        <f>+AZ367+30</f>
        <v>240</v>
      </c>
    </row>
    <row r="370" spans="7:52" hidden="1" x14ac:dyDescent="0.15">
      <c r="G370" s="3" t="s">
        <v>612</v>
      </c>
      <c r="AR370" s="63">
        <f t="shared" si="56"/>
        <v>1256.8508999999999</v>
      </c>
      <c r="AS370" s="3">
        <v>270</v>
      </c>
      <c r="AT370" s="63">
        <f t="shared" si="57"/>
        <v>13196.9259</v>
      </c>
      <c r="AU370" s="3">
        <v>270</v>
      </c>
      <c r="AW370" s="3">
        <f>+AW369+0.001</f>
        <v>1396.501</v>
      </c>
      <c r="AX370" s="3">
        <v>270</v>
      </c>
      <c r="AY370" s="3">
        <f>+AY369+0.001</f>
        <v>14663.251</v>
      </c>
      <c r="AZ370" s="3">
        <v>270</v>
      </c>
    </row>
    <row r="371" spans="7:52" hidden="1" x14ac:dyDescent="0.15">
      <c r="G371" s="3" t="s">
        <v>613</v>
      </c>
      <c r="AR371" s="63">
        <f t="shared" si="56"/>
        <v>1900.8</v>
      </c>
      <c r="AS371" s="3">
        <f>+AS369+30</f>
        <v>270</v>
      </c>
      <c r="AT371" s="63">
        <f t="shared" si="57"/>
        <v>22809.600000000002</v>
      </c>
      <c r="AU371" s="3">
        <f>+AU369+30</f>
        <v>270</v>
      </c>
      <c r="AW371" s="3">
        <f>ROUND((AX371/10-5)*POWER(AX371/10-3,2)/6,2)</f>
        <v>2112</v>
      </c>
      <c r="AX371" s="3">
        <f>+AX369+30</f>
        <v>270</v>
      </c>
      <c r="AY371" s="3">
        <f>ROUND((AZ371/10-5)*POWER(AZ371/10-3,3)/12,2)</f>
        <v>25344</v>
      </c>
      <c r="AZ371" s="3">
        <f>+AZ369+30</f>
        <v>270</v>
      </c>
    </row>
    <row r="372" spans="7:52" hidden="1" x14ac:dyDescent="0.15">
      <c r="G372" s="3" t="s">
        <v>614</v>
      </c>
      <c r="AR372" s="63">
        <f t="shared" si="56"/>
        <v>1900.8009000000002</v>
      </c>
      <c r="AS372" s="3">
        <v>300</v>
      </c>
      <c r="AT372" s="63">
        <f t="shared" si="57"/>
        <v>22809.600900000001</v>
      </c>
      <c r="AU372" s="3">
        <v>300</v>
      </c>
      <c r="AW372" s="3">
        <f>+AW371+0.001</f>
        <v>2112.0010000000002</v>
      </c>
      <c r="AX372" s="3">
        <v>300</v>
      </c>
      <c r="AY372" s="3">
        <f>+AY371+0.001</f>
        <v>25344.001</v>
      </c>
      <c r="AZ372" s="3">
        <v>300</v>
      </c>
    </row>
    <row r="373" spans="7:52" hidden="1" x14ac:dyDescent="0.15">
      <c r="G373" s="3" t="s">
        <v>540</v>
      </c>
      <c r="AR373" s="63">
        <f t="shared" si="56"/>
        <v>2733.75</v>
      </c>
      <c r="AS373" s="3">
        <f>+AS371+30</f>
        <v>300</v>
      </c>
      <c r="AT373" s="63">
        <f t="shared" si="57"/>
        <v>36905.625</v>
      </c>
      <c r="AU373" s="3">
        <f>+AU371+30</f>
        <v>300</v>
      </c>
      <c r="AW373" s="3">
        <f>ROUND((AX373/10-5)*POWER(AX373/10-3,2)/6,2)</f>
        <v>3037.5</v>
      </c>
      <c r="AX373" s="3">
        <f>+AX371+30</f>
        <v>300</v>
      </c>
      <c r="AY373" s="3">
        <f>ROUND((AZ373/10-5)*POWER(AZ373/10-3,3)/12,2)</f>
        <v>41006.25</v>
      </c>
      <c r="AZ373" s="3">
        <f>+AZ371+30</f>
        <v>300</v>
      </c>
    </row>
    <row r="374" spans="7:52" hidden="1" x14ac:dyDescent="0.15">
      <c r="G374" s="3" t="s">
        <v>615</v>
      </c>
      <c r="AR374" s="63">
        <f t="shared" si="56"/>
        <v>2733.7509000000005</v>
      </c>
      <c r="AS374" s="3">
        <v>330</v>
      </c>
      <c r="AT374" s="63">
        <f t="shared" si="57"/>
        <v>36905.625899999999</v>
      </c>
      <c r="AU374" s="3">
        <v>330</v>
      </c>
      <c r="AW374" s="3">
        <f>+AW373+0.001</f>
        <v>3037.5010000000002</v>
      </c>
      <c r="AX374" s="3">
        <v>330</v>
      </c>
      <c r="AY374" s="3">
        <f>+AY373+0.001</f>
        <v>41006.250999999997</v>
      </c>
      <c r="AZ374" s="3">
        <v>330</v>
      </c>
    </row>
    <row r="375" spans="7:52" hidden="1" x14ac:dyDescent="0.15">
      <c r="G375" s="3" t="s">
        <v>616</v>
      </c>
      <c r="AR375" s="63">
        <f t="shared" si="56"/>
        <v>3780</v>
      </c>
      <c r="AS375" s="3">
        <f>+AS373+30</f>
        <v>330</v>
      </c>
      <c r="AT375" s="63">
        <f t="shared" si="57"/>
        <v>56700</v>
      </c>
      <c r="AU375" s="3">
        <f>+AU373+30</f>
        <v>330</v>
      </c>
      <c r="AW375" s="3">
        <f>ROUND((AX375/10-5)*POWER(AX375/10-3,2)/6,2)</f>
        <v>4200</v>
      </c>
      <c r="AX375" s="3">
        <f>+AX373+30</f>
        <v>330</v>
      </c>
      <c r="AY375" s="3">
        <f>ROUND((AZ375/10-5)*POWER(AZ375/10-3,3)/12,2)</f>
        <v>63000</v>
      </c>
      <c r="AZ375" s="3">
        <f>+AZ373+30</f>
        <v>330</v>
      </c>
    </row>
    <row r="376" spans="7:52" hidden="1" x14ac:dyDescent="0.15">
      <c r="G376" s="3" t="s">
        <v>617</v>
      </c>
      <c r="AR376" s="63">
        <f t="shared" si="56"/>
        <v>3780.0009000000005</v>
      </c>
      <c r="AS376" s="3">
        <f>+AS394</f>
        <v>630</v>
      </c>
      <c r="AT376" s="63">
        <f t="shared" si="57"/>
        <v>56700.000899999999</v>
      </c>
      <c r="AU376" s="3">
        <f>+AU394</f>
        <v>630</v>
      </c>
      <c r="AW376" s="3">
        <f>+AW375+0.001</f>
        <v>4200.0010000000002</v>
      </c>
      <c r="AX376" s="3">
        <f>+AX377</f>
        <v>360</v>
      </c>
      <c r="AY376" s="3">
        <f>+AY375+0.001</f>
        <v>63000.000999999997</v>
      </c>
      <c r="AZ376" s="3">
        <f>+AZ377</f>
        <v>360</v>
      </c>
    </row>
    <row r="377" spans="7:52" hidden="1" x14ac:dyDescent="0.15">
      <c r="G377" s="3" t="s">
        <v>618</v>
      </c>
      <c r="AR377" s="63">
        <f t="shared" si="56"/>
        <v>5063.8500000000004</v>
      </c>
      <c r="AS377" s="3">
        <f>+AS375+30</f>
        <v>360</v>
      </c>
      <c r="AT377" s="63">
        <f t="shared" si="57"/>
        <v>83553.525000000009</v>
      </c>
      <c r="AU377" s="3">
        <f>+AU375+30</f>
        <v>360</v>
      </c>
      <c r="AW377" s="3">
        <f>ROUND((AX377/10-5)*POWER(AX377/10-3,2)/6,2)</f>
        <v>5626.5</v>
      </c>
      <c r="AX377" s="3">
        <f>+AX375+30</f>
        <v>360</v>
      </c>
      <c r="AY377" s="3">
        <f>ROUND((AZ377/10-5)*POWER(AZ377/10-3,3)/12,2)</f>
        <v>92837.25</v>
      </c>
      <c r="AZ377" s="3">
        <f>+AZ375+30</f>
        <v>360</v>
      </c>
    </row>
    <row r="378" spans="7:52" hidden="1" x14ac:dyDescent="0.15">
      <c r="G378" s="3" t="s">
        <v>619</v>
      </c>
      <c r="AR378" s="63">
        <f t="shared" si="56"/>
        <v>5063.8509000000004</v>
      </c>
      <c r="AS378" s="3">
        <f>+AS379</f>
        <v>390</v>
      </c>
      <c r="AT378" s="63">
        <f t="shared" si="57"/>
        <v>83553.525900000008</v>
      </c>
      <c r="AU378" s="3">
        <f>+AU379</f>
        <v>390</v>
      </c>
      <c r="AW378" s="3">
        <f>+AW377+0.001</f>
        <v>5626.5010000000002</v>
      </c>
      <c r="AX378" s="3">
        <f>+AX379</f>
        <v>390</v>
      </c>
      <c r="AY378" s="3">
        <f>+AY377+0.001</f>
        <v>92837.251000000004</v>
      </c>
      <c r="AZ378" s="3">
        <f>+AZ379</f>
        <v>390</v>
      </c>
    </row>
    <row r="379" spans="7:52" hidden="1" x14ac:dyDescent="0.15">
      <c r="G379" s="3" t="s">
        <v>620</v>
      </c>
      <c r="AR379" s="63">
        <f t="shared" si="56"/>
        <v>6609.6</v>
      </c>
      <c r="AS379" s="3">
        <f>+AS377+30</f>
        <v>390</v>
      </c>
      <c r="AT379" s="63">
        <f t="shared" si="57"/>
        <v>118972.8</v>
      </c>
      <c r="AU379" s="3">
        <f>+AU377+30</f>
        <v>390</v>
      </c>
      <c r="AW379" s="3">
        <f>ROUND((AX379/10-5)*POWER(AX379/10-3,2)/6,2)</f>
        <v>7344</v>
      </c>
      <c r="AX379" s="3">
        <f>+AX377+30</f>
        <v>390</v>
      </c>
      <c r="AY379" s="3">
        <f>ROUND((AZ379/10-5)*POWER(AZ379/10-3,3)/12,2)</f>
        <v>132192</v>
      </c>
      <c r="AZ379" s="3">
        <f>+AZ377+30</f>
        <v>390</v>
      </c>
    </row>
    <row r="380" spans="7:52" hidden="1" x14ac:dyDescent="0.15">
      <c r="G380" s="2" t="s">
        <v>621</v>
      </c>
      <c r="AR380" s="63">
        <f t="shared" si="56"/>
        <v>6609.6009000000004</v>
      </c>
      <c r="AS380" s="3">
        <f>+AS381</f>
        <v>420</v>
      </c>
      <c r="AT380" s="63">
        <f t="shared" si="57"/>
        <v>118972.80089999999</v>
      </c>
      <c r="AU380" s="3">
        <f>+AU381</f>
        <v>420</v>
      </c>
      <c r="AW380" s="3">
        <f>+AW379+0.001</f>
        <v>7344.0010000000002</v>
      </c>
      <c r="AX380" s="3">
        <f>+AX381</f>
        <v>420</v>
      </c>
      <c r="AY380" s="3">
        <f>+AY379+0.001</f>
        <v>132192.00099999999</v>
      </c>
      <c r="AZ380" s="3">
        <f>+AZ381</f>
        <v>420</v>
      </c>
    </row>
    <row r="381" spans="7:52" hidden="1" x14ac:dyDescent="0.15">
      <c r="AR381" s="63">
        <f t="shared" si="56"/>
        <v>8441.5500000000011</v>
      </c>
      <c r="AS381" s="3">
        <f>+AS379+30</f>
        <v>420</v>
      </c>
      <c r="AT381" s="63">
        <f t="shared" si="57"/>
        <v>164610.22500000001</v>
      </c>
      <c r="AU381" s="3">
        <f>+AU379+30</f>
        <v>420</v>
      </c>
      <c r="AW381" s="3">
        <f>ROUND((AX381/10-5)*POWER(AX381/10-3,2)/6,2)</f>
        <v>9379.5</v>
      </c>
      <c r="AX381" s="3">
        <f>+AX379+30</f>
        <v>420</v>
      </c>
      <c r="AY381" s="3">
        <f>ROUND((AZ381/10-5)*POWER(AZ381/10-3,3)/12,2)</f>
        <v>182900.25</v>
      </c>
      <c r="AZ381" s="3">
        <f>+AZ379+30</f>
        <v>420</v>
      </c>
    </row>
    <row r="382" spans="7:52" hidden="1" x14ac:dyDescent="0.15">
      <c r="AR382" s="63">
        <f t="shared" si="56"/>
        <v>8441.5509000000002</v>
      </c>
      <c r="AS382" s="3">
        <f>+AS383</f>
        <v>450</v>
      </c>
      <c r="AT382" s="63">
        <f t="shared" si="57"/>
        <v>164610.22589999999</v>
      </c>
      <c r="AU382" s="3">
        <f>+AU383</f>
        <v>450</v>
      </c>
      <c r="AW382" s="3">
        <f>+AW381+0.001</f>
        <v>9379.5010000000002</v>
      </c>
      <c r="AX382" s="3">
        <f>+AX383</f>
        <v>450</v>
      </c>
      <c r="AY382" s="3">
        <f>+AY381+0.001</f>
        <v>182900.25099999999</v>
      </c>
      <c r="AZ382" s="3">
        <f>+AZ383</f>
        <v>450</v>
      </c>
    </row>
    <row r="383" spans="7:52" hidden="1" x14ac:dyDescent="0.15">
      <c r="G383" s="639"/>
      <c r="AR383" s="63">
        <f t="shared" si="56"/>
        <v>10584</v>
      </c>
      <c r="AS383" s="3">
        <f>+AS381+30</f>
        <v>450</v>
      </c>
      <c r="AT383" s="63">
        <f t="shared" si="57"/>
        <v>222264</v>
      </c>
      <c r="AU383" s="3">
        <f>+AU381+30</f>
        <v>450</v>
      </c>
      <c r="AW383" s="3">
        <f>ROUND((AX383/10-5)*POWER(AX383/10-3,2)/6,2)</f>
        <v>11760</v>
      </c>
      <c r="AX383" s="3">
        <f>+AX381+30</f>
        <v>450</v>
      </c>
      <c r="AY383" s="3">
        <f>ROUND((AZ383/10-5)*POWER(AZ383/10-3,3)/12,2)</f>
        <v>246960</v>
      </c>
      <c r="AZ383" s="3">
        <f>+AZ381+30</f>
        <v>450</v>
      </c>
    </row>
    <row r="384" spans="7:52" hidden="1" x14ac:dyDescent="0.15">
      <c r="G384" s="639" t="s">
        <v>961</v>
      </c>
      <c r="AR384" s="63">
        <f t="shared" si="56"/>
        <v>10584.000900000001</v>
      </c>
      <c r="AS384" s="3">
        <f>+AS385</f>
        <v>480</v>
      </c>
      <c r="AT384" s="63">
        <f t="shared" si="57"/>
        <v>222264.00089999998</v>
      </c>
      <c r="AU384" s="3">
        <f>+AU385</f>
        <v>480</v>
      </c>
      <c r="AW384" s="3">
        <f>+AW383+0.001</f>
        <v>11760.001</v>
      </c>
      <c r="AX384" s="3">
        <f>+AX385</f>
        <v>480</v>
      </c>
      <c r="AY384" s="3">
        <f>+AY383+0.001</f>
        <v>246960.00099999999</v>
      </c>
      <c r="AZ384" s="3">
        <f>+AZ385</f>
        <v>480</v>
      </c>
    </row>
    <row r="385" spans="7:52" hidden="1" x14ac:dyDescent="0.15">
      <c r="AR385" s="63">
        <f t="shared" si="56"/>
        <v>13061.25</v>
      </c>
      <c r="AS385" s="3">
        <f>+AS383+30</f>
        <v>480</v>
      </c>
      <c r="AT385" s="63">
        <f t="shared" si="57"/>
        <v>293878.125</v>
      </c>
      <c r="AU385" s="3">
        <f>+AU383+30</f>
        <v>480</v>
      </c>
      <c r="AW385" s="3">
        <f>ROUND((AX385/10-5)*POWER(AX385/10-3,2)/6,2)</f>
        <v>14512.5</v>
      </c>
      <c r="AX385" s="3">
        <f>+AX383+30</f>
        <v>480</v>
      </c>
      <c r="AY385" s="3">
        <f>ROUND((AZ385/10-5)*POWER(AZ385/10-3,3)/12,2)</f>
        <v>326531.25</v>
      </c>
      <c r="AZ385" s="3">
        <f>+AZ383+30</f>
        <v>480</v>
      </c>
    </row>
    <row r="386" spans="7:52" hidden="1" x14ac:dyDescent="0.15">
      <c r="I386" s="3" t="s">
        <v>959</v>
      </c>
      <c r="J386" s="3" t="s">
        <v>960</v>
      </c>
      <c r="AR386" s="63">
        <f t="shared" si="56"/>
        <v>13061.250900000001</v>
      </c>
      <c r="AS386" s="3">
        <f>+AS387</f>
        <v>510</v>
      </c>
      <c r="AT386" s="63">
        <f t="shared" si="57"/>
        <v>293878.12589999998</v>
      </c>
      <c r="AU386" s="3">
        <f>+AU387</f>
        <v>510</v>
      </c>
      <c r="AW386" s="3">
        <f>+AW385+0.001</f>
        <v>14512.501</v>
      </c>
      <c r="AX386" s="3">
        <f>+AX387</f>
        <v>510</v>
      </c>
      <c r="AY386" s="3">
        <f>+AY385+0.001</f>
        <v>326531.25099999999</v>
      </c>
      <c r="AZ386" s="3">
        <f>+AZ387</f>
        <v>510</v>
      </c>
    </row>
    <row r="387" spans="7:52" hidden="1" x14ac:dyDescent="0.15">
      <c r="G387" s="651">
        <v>1</v>
      </c>
      <c r="H387" s="9" t="s">
        <v>23</v>
      </c>
      <c r="I387" s="651">
        <f>+J387*10</f>
        <v>5000</v>
      </c>
      <c r="J387" s="651">
        <v>500</v>
      </c>
      <c r="AR387" s="63">
        <f t="shared" si="56"/>
        <v>15897.6</v>
      </c>
      <c r="AS387" s="3">
        <f>+AS385+30</f>
        <v>510</v>
      </c>
      <c r="AT387" s="63">
        <f t="shared" si="57"/>
        <v>381542.40000000002</v>
      </c>
      <c r="AU387" s="3">
        <f>+AU385+30</f>
        <v>510</v>
      </c>
      <c r="AW387" s="3">
        <f>ROUND((AX387/10-5)*POWER(AX387/10-3,2)/6,2)</f>
        <v>17664</v>
      </c>
      <c r="AX387" s="3">
        <f>+AX385+30</f>
        <v>510</v>
      </c>
      <c r="AY387" s="3">
        <f>ROUND((AZ387/10-5)*POWER(AZ387/10-3,3)/12,2)</f>
        <v>423936</v>
      </c>
      <c r="AZ387" s="3">
        <f>+AZ385+30</f>
        <v>510</v>
      </c>
    </row>
    <row r="388" spans="7:52" hidden="1" x14ac:dyDescent="0.15">
      <c r="G388" s="651">
        <v>2</v>
      </c>
      <c r="H388" s="9" t="s">
        <v>24</v>
      </c>
      <c r="I388" s="651">
        <f t="shared" ref="I388:I397" si="58">+J388*10</f>
        <v>6000</v>
      </c>
      <c r="J388" s="651">
        <v>600</v>
      </c>
      <c r="AR388" s="63">
        <f t="shared" si="56"/>
        <v>15897.600900000001</v>
      </c>
      <c r="AS388" s="3">
        <f>+AS389</f>
        <v>540</v>
      </c>
      <c r="AT388" s="63">
        <f t="shared" si="57"/>
        <v>381542.40090000001</v>
      </c>
      <c r="AU388" s="3">
        <f>+AU389</f>
        <v>540</v>
      </c>
      <c r="AW388" s="3">
        <f>+AW387+0.001</f>
        <v>17664.001</v>
      </c>
      <c r="AX388" s="3">
        <f>+AX389</f>
        <v>540</v>
      </c>
      <c r="AY388" s="3">
        <f>+AY387+0.001</f>
        <v>423936.00099999999</v>
      </c>
      <c r="AZ388" s="3">
        <f>+AZ389</f>
        <v>540</v>
      </c>
    </row>
    <row r="389" spans="7:52" hidden="1" x14ac:dyDescent="0.15">
      <c r="G389" s="651">
        <v>3</v>
      </c>
      <c r="H389" s="9" t="s">
        <v>25</v>
      </c>
      <c r="I389" s="651">
        <f t="shared" si="58"/>
        <v>5000</v>
      </c>
      <c r="J389" s="651">
        <v>500</v>
      </c>
      <c r="AR389" s="63">
        <f t="shared" si="56"/>
        <v>19117.350000000002</v>
      </c>
      <c r="AS389" s="3">
        <f>+AS387+30</f>
        <v>540</v>
      </c>
      <c r="AT389" s="63">
        <f t="shared" si="57"/>
        <v>487492.42499999999</v>
      </c>
      <c r="AU389" s="3">
        <f>+AU387+30</f>
        <v>540</v>
      </c>
      <c r="AW389" s="3">
        <f>ROUND((AX389/10-5)*POWER(AX389/10-3,2)/6,2)</f>
        <v>21241.5</v>
      </c>
      <c r="AX389" s="3">
        <f>+AX387+30</f>
        <v>540</v>
      </c>
      <c r="AY389" s="3">
        <f>ROUND((AZ389/10-5)*POWER(AZ389/10-3,3)/12,2)</f>
        <v>541658.25</v>
      </c>
      <c r="AZ389" s="3">
        <f>+AZ387+30</f>
        <v>540</v>
      </c>
    </row>
    <row r="390" spans="7:52" hidden="1" x14ac:dyDescent="0.15">
      <c r="G390" s="651">
        <v>4</v>
      </c>
      <c r="H390" s="9" t="s">
        <v>26</v>
      </c>
      <c r="I390" s="651">
        <f t="shared" si="58"/>
        <v>6000</v>
      </c>
      <c r="J390" s="651">
        <v>600</v>
      </c>
      <c r="AR390" s="63">
        <f t="shared" si="56"/>
        <v>19117.350900000001</v>
      </c>
      <c r="AS390" s="3">
        <f>+AS391</f>
        <v>570</v>
      </c>
      <c r="AT390" s="63">
        <f t="shared" si="57"/>
        <v>487492.42590000003</v>
      </c>
      <c r="AU390" s="3">
        <f>+AU391</f>
        <v>570</v>
      </c>
      <c r="AW390" s="3">
        <f>+AW389+0.001</f>
        <v>21241.501</v>
      </c>
      <c r="AX390" s="3">
        <f>+AX391</f>
        <v>570</v>
      </c>
      <c r="AY390" s="3">
        <f>+AY389+0.001</f>
        <v>541658.25100000005</v>
      </c>
      <c r="AZ390" s="3">
        <f>+AZ391</f>
        <v>570</v>
      </c>
    </row>
    <row r="391" spans="7:52" hidden="1" x14ac:dyDescent="0.15">
      <c r="G391" s="651">
        <v>5</v>
      </c>
      <c r="H391" s="9" t="s">
        <v>27</v>
      </c>
      <c r="I391" s="651">
        <f t="shared" si="58"/>
        <v>7000</v>
      </c>
      <c r="J391" s="651">
        <v>700</v>
      </c>
      <c r="AR391" s="63">
        <f t="shared" si="56"/>
        <v>22744.799999999999</v>
      </c>
      <c r="AS391" s="3">
        <f>+AS389+30</f>
        <v>570</v>
      </c>
      <c r="AT391" s="63">
        <f t="shared" si="57"/>
        <v>614109.6</v>
      </c>
      <c r="AU391" s="3">
        <f>+AU389+30</f>
        <v>570</v>
      </c>
      <c r="AW391" s="3">
        <f>ROUND((AX391/10-5)*POWER(AX391/10-3,2)/6,2)</f>
        <v>25272</v>
      </c>
      <c r="AX391" s="3">
        <f>+AX389+30</f>
        <v>570</v>
      </c>
      <c r="AY391" s="3">
        <f>ROUND((AZ391/10-5)*POWER(AZ391/10-3,3)/12,2)</f>
        <v>682344</v>
      </c>
      <c r="AZ391" s="3">
        <f>+AZ389+30</f>
        <v>570</v>
      </c>
    </row>
    <row r="392" spans="7:52" hidden="1" x14ac:dyDescent="0.15">
      <c r="G392" s="651">
        <v>6</v>
      </c>
      <c r="H392" s="9" t="s">
        <v>28</v>
      </c>
      <c r="I392" s="651">
        <f t="shared" si="58"/>
        <v>6000</v>
      </c>
      <c r="J392" s="651">
        <v>600</v>
      </c>
      <c r="AR392" s="63">
        <f t="shared" si="56"/>
        <v>22744.800900000002</v>
      </c>
      <c r="AS392" s="3">
        <f>+AS393</f>
        <v>600</v>
      </c>
      <c r="AT392" s="63">
        <f t="shared" si="57"/>
        <v>614109.60090000008</v>
      </c>
      <c r="AU392" s="3">
        <f>+AU393</f>
        <v>600</v>
      </c>
      <c r="AW392" s="3">
        <f>+AW391+0.001</f>
        <v>25272.001</v>
      </c>
      <c r="AX392" s="3">
        <f>+AX393</f>
        <v>600</v>
      </c>
      <c r="AY392" s="3">
        <f>+AY391+0.001</f>
        <v>682344.00100000005</v>
      </c>
      <c r="AZ392" s="3">
        <f>+AZ393</f>
        <v>600</v>
      </c>
    </row>
    <row r="393" spans="7:52" hidden="1" x14ac:dyDescent="0.15">
      <c r="G393" s="651">
        <v>7</v>
      </c>
      <c r="H393" s="9" t="s">
        <v>29</v>
      </c>
      <c r="I393" s="651">
        <f t="shared" si="58"/>
        <v>6000</v>
      </c>
      <c r="J393" s="651">
        <v>600</v>
      </c>
      <c r="AR393" s="63">
        <f t="shared" si="56"/>
        <v>26804.25</v>
      </c>
      <c r="AS393" s="3">
        <f>+AS391+30</f>
        <v>600</v>
      </c>
      <c r="AT393" s="63">
        <f t="shared" si="57"/>
        <v>763921.125</v>
      </c>
      <c r="AU393" s="3">
        <f>+AU391+30</f>
        <v>600</v>
      </c>
      <c r="AW393" s="3">
        <f>ROUND((AX393/10-5)*POWER(AX393/10-3,2)/6,2)</f>
        <v>29782.5</v>
      </c>
      <c r="AX393" s="3">
        <f>+AX391+30</f>
        <v>600</v>
      </c>
      <c r="AY393" s="3">
        <f>ROUND((AZ393/10-5)*POWER(AZ393/10-3,3)/12,2)</f>
        <v>848801.25</v>
      </c>
      <c r="AZ393" s="3">
        <f>+AZ391+30</f>
        <v>600</v>
      </c>
    </row>
    <row r="394" spans="7:52" hidden="1" x14ac:dyDescent="0.15">
      <c r="G394" s="651">
        <v>8</v>
      </c>
      <c r="H394" s="9" t="s">
        <v>30</v>
      </c>
      <c r="I394" s="651">
        <f t="shared" si="58"/>
        <v>7000</v>
      </c>
      <c r="J394" s="651">
        <v>700</v>
      </c>
      <c r="AR394" s="63">
        <f t="shared" si="56"/>
        <v>26804.250899999999</v>
      </c>
      <c r="AS394" s="3">
        <f>+AS395</f>
        <v>630</v>
      </c>
      <c r="AT394" s="63">
        <f t="shared" si="57"/>
        <v>763921.1259000001</v>
      </c>
      <c r="AU394" s="3">
        <f>+AU395</f>
        <v>630</v>
      </c>
      <c r="AW394" s="3">
        <f>+AW393+0.001</f>
        <v>29782.501</v>
      </c>
      <c r="AX394" s="3">
        <f>+AX395</f>
        <v>630</v>
      </c>
      <c r="AY394" s="3">
        <f>+AY393+0.001</f>
        <v>848801.25100000005</v>
      </c>
      <c r="AZ394" s="3">
        <f>+AZ395</f>
        <v>630</v>
      </c>
    </row>
    <row r="395" spans="7:52" hidden="1" x14ac:dyDescent="0.15">
      <c r="G395" s="651">
        <v>9</v>
      </c>
      <c r="H395" s="9" t="s">
        <v>31</v>
      </c>
      <c r="I395" s="651">
        <f t="shared" si="58"/>
        <v>7000</v>
      </c>
      <c r="J395" s="651">
        <v>700</v>
      </c>
      <c r="AR395" s="63">
        <f t="shared" si="56"/>
        <v>31320</v>
      </c>
      <c r="AS395" s="3">
        <f>+AS393+30</f>
        <v>630</v>
      </c>
      <c r="AT395" s="63">
        <f t="shared" si="57"/>
        <v>939600</v>
      </c>
      <c r="AU395" s="3">
        <f>+AU393+30</f>
        <v>630</v>
      </c>
      <c r="AW395" s="3">
        <f>ROUND((AX395/10-5)*POWER(AX395/10-3,2)/6,2)</f>
        <v>34800</v>
      </c>
      <c r="AX395" s="3">
        <f>+AX393+30</f>
        <v>630</v>
      </c>
      <c r="AY395" s="3">
        <f>ROUND((AZ395/10-5)*POWER(AZ395/10-3,3)/12,2)</f>
        <v>1044000</v>
      </c>
      <c r="AZ395" s="3">
        <f>+AZ393+30</f>
        <v>630</v>
      </c>
    </row>
    <row r="396" spans="7:52" hidden="1" x14ac:dyDescent="0.15">
      <c r="G396" s="651">
        <v>10</v>
      </c>
      <c r="H396" s="9" t="s">
        <v>32</v>
      </c>
      <c r="I396" s="651">
        <f t="shared" si="58"/>
        <v>4000</v>
      </c>
      <c r="J396" s="651">
        <v>400</v>
      </c>
      <c r="AR396" s="63">
        <f t="shared" si="56"/>
        <v>31320.000899999999</v>
      </c>
      <c r="AT396" s="63">
        <f t="shared" si="57"/>
        <v>939600.0009000001</v>
      </c>
      <c r="AW396" s="3">
        <f>+AW395+0.001</f>
        <v>34800.000999999997</v>
      </c>
      <c r="AY396" s="3">
        <f>+AY395+0.001</f>
        <v>1044000.001</v>
      </c>
    </row>
    <row r="397" spans="7:52" hidden="1" x14ac:dyDescent="0.15">
      <c r="G397" s="651">
        <v>11</v>
      </c>
      <c r="H397" s="9" t="s">
        <v>33</v>
      </c>
      <c r="I397" s="651">
        <f t="shared" si="58"/>
        <v>5000</v>
      </c>
      <c r="J397" s="651">
        <v>500</v>
      </c>
    </row>
    <row r="398" spans="7:52" x14ac:dyDescent="0.15">
      <c r="AQ398" s="3">
        <v>0.8</v>
      </c>
      <c r="AR398" s="63">
        <f>+AW398*0.8</f>
        <v>3.6</v>
      </c>
      <c r="AS398" s="3">
        <v>60</v>
      </c>
      <c r="AT398" s="63">
        <f>+AY398*0.8</f>
        <v>5.4</v>
      </c>
      <c r="AU398" s="3">
        <v>60</v>
      </c>
      <c r="AW398" s="3">
        <f>ROUND((AX398/10-3)*POWER(AX398/10-3,2)/6,2)</f>
        <v>4.5</v>
      </c>
      <c r="AX398" s="3">
        <v>60</v>
      </c>
      <c r="AY398" s="3">
        <f>ROUND((AZ398/10-3)*POWER(AZ398/10-3,3)/12,2)</f>
        <v>6.75</v>
      </c>
      <c r="AZ398" s="3">
        <v>60</v>
      </c>
    </row>
    <row r="399" spans="7:52" x14ac:dyDescent="0.15">
      <c r="AR399" s="63">
        <f t="shared" ref="AR399:AR443" si="59">+AW399*0.8</f>
        <v>3.6008000000000004</v>
      </c>
      <c r="AS399" s="3">
        <v>75</v>
      </c>
      <c r="AT399" s="63">
        <f t="shared" ref="AT399:AT443" si="60">+AY399*0.8</f>
        <v>5.4008000000000003</v>
      </c>
      <c r="AU399" s="3">
        <v>75</v>
      </c>
      <c r="AW399" s="3">
        <f>+AW398+0.001</f>
        <v>4.5010000000000003</v>
      </c>
      <c r="AX399" s="3">
        <v>75</v>
      </c>
      <c r="AY399" s="3">
        <f>+AY398+0.001</f>
        <v>6.7510000000000003</v>
      </c>
      <c r="AZ399" s="3">
        <v>75</v>
      </c>
    </row>
    <row r="400" spans="7:52" x14ac:dyDescent="0.15">
      <c r="AR400" s="63">
        <f t="shared" si="59"/>
        <v>12.152000000000001</v>
      </c>
      <c r="AS400" s="3">
        <v>75</v>
      </c>
      <c r="AT400" s="63">
        <f t="shared" si="60"/>
        <v>27.336000000000002</v>
      </c>
      <c r="AU400" s="3">
        <v>75</v>
      </c>
      <c r="AW400" s="3">
        <f>ROUND((AX400/10-3)*POWER(AX400/10-3,2)/6,2)</f>
        <v>15.19</v>
      </c>
      <c r="AX400" s="3">
        <v>75</v>
      </c>
      <c r="AY400" s="3">
        <f>ROUND((AZ400/10-3)*POWER(AZ400/10-3,3)/12,2)</f>
        <v>34.17</v>
      </c>
      <c r="AZ400" s="3">
        <v>75</v>
      </c>
    </row>
    <row r="401" spans="44:52" x14ac:dyDescent="0.15">
      <c r="AR401" s="63">
        <f t="shared" si="59"/>
        <v>12.152799999999999</v>
      </c>
      <c r="AS401" s="3">
        <v>90</v>
      </c>
      <c r="AT401" s="63">
        <f t="shared" si="60"/>
        <v>27.3368</v>
      </c>
      <c r="AU401" s="3">
        <v>90</v>
      </c>
      <c r="AW401" s="3">
        <f>+AW400+0.001</f>
        <v>15.190999999999999</v>
      </c>
      <c r="AX401" s="3">
        <v>90</v>
      </c>
      <c r="AY401" s="3">
        <f>+AY400+0.001</f>
        <v>34.170999999999999</v>
      </c>
      <c r="AZ401" s="3">
        <v>90</v>
      </c>
    </row>
    <row r="402" spans="44:52" x14ac:dyDescent="0.15">
      <c r="AR402" s="63">
        <f t="shared" si="59"/>
        <v>28.8</v>
      </c>
      <c r="AS402" s="3">
        <v>90</v>
      </c>
      <c r="AT402" s="63">
        <f t="shared" si="60"/>
        <v>86.4</v>
      </c>
      <c r="AU402" s="3">
        <v>90</v>
      </c>
      <c r="AW402" s="3">
        <f>ROUND((AX402/10-3)*POWER(AX402/10-3,2)/6,2)</f>
        <v>36</v>
      </c>
      <c r="AX402" s="3">
        <v>90</v>
      </c>
      <c r="AY402" s="3">
        <f>ROUND((AZ402/10-3)*POWER(AZ402/10-3,3)/12,2)</f>
        <v>108</v>
      </c>
      <c r="AZ402" s="3">
        <v>90</v>
      </c>
    </row>
    <row r="403" spans="44:52" x14ac:dyDescent="0.15">
      <c r="AR403" s="63">
        <f t="shared" si="59"/>
        <v>28.800799999999999</v>
      </c>
      <c r="AS403" s="3">
        <v>105</v>
      </c>
      <c r="AT403" s="63">
        <f t="shared" si="60"/>
        <v>86.400800000000004</v>
      </c>
      <c r="AU403" s="3">
        <v>105</v>
      </c>
      <c r="AW403" s="3">
        <f>+AW402+0.001</f>
        <v>36.000999999999998</v>
      </c>
      <c r="AX403" s="3">
        <v>105</v>
      </c>
      <c r="AY403" s="3">
        <f>+AY402+0.001</f>
        <v>108.001</v>
      </c>
      <c r="AZ403" s="3">
        <v>105</v>
      </c>
    </row>
    <row r="404" spans="44:52" x14ac:dyDescent="0.15">
      <c r="AR404" s="63">
        <f t="shared" si="59"/>
        <v>56.248000000000005</v>
      </c>
      <c r="AS404" s="3">
        <v>105</v>
      </c>
      <c r="AT404" s="63">
        <f t="shared" si="60"/>
        <v>210.93600000000004</v>
      </c>
      <c r="AU404" s="3">
        <v>105</v>
      </c>
      <c r="AW404" s="3">
        <f>ROUND((AX404/10-3)*POWER(AX404/10-3,2)/6,2)</f>
        <v>70.31</v>
      </c>
      <c r="AX404" s="3">
        <v>105</v>
      </c>
      <c r="AY404" s="3">
        <f>ROUND((AZ404/10-3)*POWER(AZ404/10-3,3)/12,2)</f>
        <v>263.67</v>
      </c>
      <c r="AZ404" s="3">
        <v>105</v>
      </c>
    </row>
    <row r="405" spans="44:52" x14ac:dyDescent="0.15">
      <c r="AR405" s="63">
        <f t="shared" si="59"/>
        <v>56.24880000000001</v>
      </c>
      <c r="AS405" s="3">
        <v>120</v>
      </c>
      <c r="AT405" s="63">
        <f t="shared" si="60"/>
        <v>210.93680000000001</v>
      </c>
      <c r="AU405" s="3">
        <v>120</v>
      </c>
      <c r="AW405" s="3">
        <f>+AW404+0.001</f>
        <v>70.311000000000007</v>
      </c>
      <c r="AX405" s="3">
        <v>120</v>
      </c>
      <c r="AY405" s="3">
        <f>+AY404+0.001</f>
        <v>263.67099999999999</v>
      </c>
      <c r="AZ405" s="3">
        <v>120</v>
      </c>
    </row>
    <row r="406" spans="44:52" x14ac:dyDescent="0.15">
      <c r="AR406" s="63">
        <f t="shared" si="59"/>
        <v>97.2</v>
      </c>
      <c r="AS406" s="3">
        <v>120</v>
      </c>
      <c r="AT406" s="63">
        <f t="shared" si="60"/>
        <v>437.40000000000003</v>
      </c>
      <c r="AU406" s="3">
        <v>120</v>
      </c>
      <c r="AW406" s="3">
        <f>ROUND((AX406/10-3)*POWER(AX406/10-3,2)/6,2)</f>
        <v>121.5</v>
      </c>
      <c r="AX406" s="3">
        <v>120</v>
      </c>
      <c r="AY406" s="3">
        <f>ROUND((AZ406/10-3)*POWER(AZ406/10-3,3)/12,2)</f>
        <v>546.75</v>
      </c>
      <c r="AZ406" s="3">
        <v>120</v>
      </c>
    </row>
    <row r="407" spans="44:52" x14ac:dyDescent="0.15">
      <c r="AR407" s="63">
        <f t="shared" si="59"/>
        <v>97.200800000000015</v>
      </c>
      <c r="AS407" s="3">
        <v>135</v>
      </c>
      <c r="AT407" s="63">
        <f t="shared" si="60"/>
        <v>437.4008</v>
      </c>
      <c r="AU407" s="3">
        <v>135</v>
      </c>
      <c r="AW407" s="3">
        <f>+AW406+0.001</f>
        <v>121.501</v>
      </c>
      <c r="AX407" s="3">
        <v>135</v>
      </c>
      <c r="AY407" s="3">
        <f>+AY406+0.001</f>
        <v>546.75099999999998</v>
      </c>
      <c r="AZ407" s="3">
        <v>135</v>
      </c>
    </row>
    <row r="408" spans="44:52" x14ac:dyDescent="0.15">
      <c r="AR408" s="63">
        <f t="shared" si="59"/>
        <v>154.352</v>
      </c>
      <c r="AS408" s="3">
        <v>135</v>
      </c>
      <c r="AT408" s="63">
        <f t="shared" si="60"/>
        <v>810.33600000000001</v>
      </c>
      <c r="AU408" s="3">
        <v>135</v>
      </c>
      <c r="AW408" s="3">
        <f>ROUND((AX408/10-3)*POWER(AX408/10-3,2)/6,2)</f>
        <v>192.94</v>
      </c>
      <c r="AX408" s="3">
        <v>135</v>
      </c>
      <c r="AY408" s="3">
        <f>ROUND((AZ408/10-3)*POWER(AZ408/10-3,3)/12,2)</f>
        <v>1012.92</v>
      </c>
      <c r="AZ408" s="3">
        <v>135</v>
      </c>
    </row>
    <row r="409" spans="44:52" x14ac:dyDescent="0.15">
      <c r="AR409" s="63">
        <f t="shared" si="59"/>
        <v>154.3528</v>
      </c>
      <c r="AS409" s="3">
        <v>150</v>
      </c>
      <c r="AT409" s="63">
        <f t="shared" si="60"/>
        <v>810.33680000000004</v>
      </c>
      <c r="AU409" s="3">
        <v>150</v>
      </c>
      <c r="AW409" s="3">
        <f>+AW408+0.001</f>
        <v>192.941</v>
      </c>
      <c r="AX409" s="3">
        <v>150</v>
      </c>
      <c r="AY409" s="3">
        <f>+AY408+0.001</f>
        <v>1012.9209999999999</v>
      </c>
      <c r="AZ409" s="3">
        <v>150</v>
      </c>
    </row>
    <row r="410" spans="44:52" x14ac:dyDescent="0.15">
      <c r="AR410" s="63">
        <f t="shared" si="59"/>
        <v>230.4</v>
      </c>
      <c r="AS410" s="3">
        <v>150</v>
      </c>
      <c r="AT410" s="63">
        <f t="shared" si="60"/>
        <v>1382.4</v>
      </c>
      <c r="AU410" s="3">
        <v>150</v>
      </c>
      <c r="AW410" s="3">
        <f>ROUND((AX410/10-3)*POWER(AX410/10-3,2)/6,2)</f>
        <v>288</v>
      </c>
      <c r="AX410" s="3">
        <v>150</v>
      </c>
      <c r="AY410" s="3">
        <f>ROUND((AZ410/10-3)*POWER(AZ410/10-3,3)/12,2)</f>
        <v>1728</v>
      </c>
      <c r="AZ410" s="3">
        <v>150</v>
      </c>
    </row>
    <row r="411" spans="44:52" x14ac:dyDescent="0.15">
      <c r="AR411" s="63">
        <f t="shared" si="59"/>
        <v>230.4008</v>
      </c>
      <c r="AS411" s="3">
        <v>180</v>
      </c>
      <c r="AT411" s="63">
        <f t="shared" si="60"/>
        <v>1382.4008000000001</v>
      </c>
      <c r="AU411" s="3">
        <v>180</v>
      </c>
      <c r="AW411" s="3">
        <f>+AW410+0.001</f>
        <v>288.00099999999998</v>
      </c>
      <c r="AX411" s="3">
        <v>180</v>
      </c>
      <c r="AY411" s="3">
        <f>+AY410+0.001</f>
        <v>1728.001</v>
      </c>
      <c r="AZ411" s="3">
        <v>180</v>
      </c>
    </row>
    <row r="412" spans="44:52" x14ac:dyDescent="0.15">
      <c r="AR412" s="63">
        <f t="shared" si="59"/>
        <v>390</v>
      </c>
      <c r="AS412" s="3">
        <v>180</v>
      </c>
      <c r="AT412" s="63">
        <f t="shared" si="60"/>
        <v>2925</v>
      </c>
      <c r="AU412" s="3">
        <v>180</v>
      </c>
      <c r="AW412" s="3">
        <f>ROUND((AX412/10-5)*POWER(AX412/10-3,2)/6,2)</f>
        <v>487.5</v>
      </c>
      <c r="AX412" s="3">
        <v>180</v>
      </c>
      <c r="AY412" s="3">
        <f>ROUND((AZ412/10-5)*POWER(AZ412/10-3,3)/12,2)</f>
        <v>3656.25</v>
      </c>
      <c r="AZ412" s="3">
        <v>180</v>
      </c>
    </row>
    <row r="413" spans="44:52" x14ac:dyDescent="0.15">
      <c r="AR413" s="63">
        <f t="shared" si="59"/>
        <v>390.00080000000003</v>
      </c>
      <c r="AS413" s="3">
        <v>210</v>
      </c>
      <c r="AT413" s="63">
        <f t="shared" si="60"/>
        <v>2925.0008000000003</v>
      </c>
      <c r="AU413" s="3">
        <v>210</v>
      </c>
      <c r="AW413" s="3">
        <f>+AW412+0.001</f>
        <v>487.50099999999998</v>
      </c>
      <c r="AX413" s="3">
        <v>210</v>
      </c>
      <c r="AY413" s="3">
        <f>+AY412+0.001</f>
        <v>3656.2510000000002</v>
      </c>
      <c r="AZ413" s="3">
        <v>210</v>
      </c>
    </row>
    <row r="414" spans="44:52" x14ac:dyDescent="0.15">
      <c r="AR414" s="63">
        <f t="shared" si="59"/>
        <v>691.2</v>
      </c>
      <c r="AS414" s="3">
        <v>210</v>
      </c>
      <c r="AT414" s="63">
        <f t="shared" si="60"/>
        <v>6220.8</v>
      </c>
      <c r="AU414" s="3">
        <v>210</v>
      </c>
      <c r="AW414" s="3">
        <f>ROUND((AX414/10-5)*POWER(AX414/10-3,2)/6,2)</f>
        <v>864</v>
      </c>
      <c r="AX414" s="3">
        <v>210</v>
      </c>
      <c r="AY414" s="3">
        <f>ROUND((AZ414/10-5)*POWER(AZ414/10-3,3)/12,2)</f>
        <v>7776</v>
      </c>
      <c r="AZ414" s="3">
        <v>210</v>
      </c>
    </row>
    <row r="415" spans="44:52" x14ac:dyDescent="0.15">
      <c r="AR415" s="63">
        <f t="shared" si="59"/>
        <v>691.20080000000007</v>
      </c>
      <c r="AS415" s="3">
        <v>240</v>
      </c>
      <c r="AT415" s="63">
        <f t="shared" si="60"/>
        <v>6220.8008000000009</v>
      </c>
      <c r="AU415" s="3">
        <v>240</v>
      </c>
      <c r="AW415" s="3">
        <f>+AW414+0.001</f>
        <v>864.00099999999998</v>
      </c>
      <c r="AX415" s="3">
        <v>240</v>
      </c>
      <c r="AY415" s="3">
        <f>+AY414+0.001</f>
        <v>7776.0010000000002</v>
      </c>
      <c r="AZ415" s="3">
        <v>240</v>
      </c>
    </row>
    <row r="416" spans="44:52" x14ac:dyDescent="0.15">
      <c r="AR416" s="63">
        <f t="shared" si="59"/>
        <v>1117.2</v>
      </c>
      <c r="AS416" s="3">
        <f>+AS414+30</f>
        <v>240</v>
      </c>
      <c r="AT416" s="63">
        <f t="shared" si="60"/>
        <v>11730.6</v>
      </c>
      <c r="AU416" s="3">
        <f>+AU414+30</f>
        <v>240</v>
      </c>
      <c r="AW416" s="3">
        <f>ROUND((AX416/10-5)*POWER(AX416/10-3,2)/6,2)</f>
        <v>1396.5</v>
      </c>
      <c r="AX416" s="3">
        <f>+AX414+30</f>
        <v>240</v>
      </c>
      <c r="AY416" s="3">
        <f>ROUND((AZ416/10-5)*POWER(AZ416/10-3,3)/12,2)</f>
        <v>14663.25</v>
      </c>
      <c r="AZ416" s="3">
        <f>+AZ414+30</f>
        <v>240</v>
      </c>
    </row>
    <row r="417" spans="44:52" x14ac:dyDescent="0.15">
      <c r="AR417" s="63">
        <f t="shared" si="59"/>
        <v>1117.2008000000001</v>
      </c>
      <c r="AS417" s="3">
        <v>270</v>
      </c>
      <c r="AT417" s="63">
        <f t="shared" si="60"/>
        <v>11730.6008</v>
      </c>
      <c r="AU417" s="3">
        <v>270</v>
      </c>
      <c r="AW417" s="3">
        <f>+AW416+0.001</f>
        <v>1396.501</v>
      </c>
      <c r="AX417" s="3">
        <v>270</v>
      </c>
      <c r="AY417" s="3">
        <f>+AY416+0.001</f>
        <v>14663.251</v>
      </c>
      <c r="AZ417" s="3">
        <v>270</v>
      </c>
    </row>
    <row r="418" spans="44:52" x14ac:dyDescent="0.15">
      <c r="AR418" s="63">
        <f t="shared" si="59"/>
        <v>1689.6000000000001</v>
      </c>
      <c r="AS418" s="3">
        <f>+AS416+30</f>
        <v>270</v>
      </c>
      <c r="AT418" s="63">
        <f t="shared" si="60"/>
        <v>20275.2</v>
      </c>
      <c r="AU418" s="3">
        <f>+AU416+30</f>
        <v>270</v>
      </c>
      <c r="AW418" s="3">
        <f>ROUND((AX418/10-5)*POWER(AX418/10-3,2)/6,2)</f>
        <v>2112</v>
      </c>
      <c r="AX418" s="3">
        <f>+AX416+30</f>
        <v>270</v>
      </c>
      <c r="AY418" s="3">
        <f>ROUND((AZ418/10-5)*POWER(AZ418/10-3,3)/12,2)</f>
        <v>25344</v>
      </c>
      <c r="AZ418" s="3">
        <f>+AZ416+30</f>
        <v>270</v>
      </c>
    </row>
    <row r="419" spans="44:52" x14ac:dyDescent="0.15">
      <c r="AR419" s="63">
        <f t="shared" si="59"/>
        <v>1689.6008000000002</v>
      </c>
      <c r="AS419" s="3">
        <v>300</v>
      </c>
      <c r="AT419" s="63">
        <f t="shared" si="60"/>
        <v>20275.200800000002</v>
      </c>
      <c r="AU419" s="3">
        <v>300</v>
      </c>
      <c r="AW419" s="3">
        <f>+AW418+0.001</f>
        <v>2112.0010000000002</v>
      </c>
      <c r="AX419" s="3">
        <v>300</v>
      </c>
      <c r="AY419" s="3">
        <f>+AY418+0.001</f>
        <v>25344.001</v>
      </c>
      <c r="AZ419" s="3">
        <v>300</v>
      </c>
    </row>
    <row r="420" spans="44:52" x14ac:dyDescent="0.15">
      <c r="AR420" s="63">
        <f t="shared" si="59"/>
        <v>2430</v>
      </c>
      <c r="AS420" s="3">
        <f>+AS418+30</f>
        <v>300</v>
      </c>
      <c r="AT420" s="63">
        <f t="shared" si="60"/>
        <v>32805</v>
      </c>
      <c r="AU420" s="3">
        <f>+AU418+30</f>
        <v>300</v>
      </c>
      <c r="AW420" s="3">
        <f>ROUND((AX420/10-5)*POWER(AX420/10-3,2)/6,2)</f>
        <v>3037.5</v>
      </c>
      <c r="AX420" s="3">
        <f>+AX418+30</f>
        <v>300</v>
      </c>
      <c r="AY420" s="3">
        <f>ROUND((AZ420/10-5)*POWER(AZ420/10-3,3)/12,2)</f>
        <v>41006.25</v>
      </c>
      <c r="AZ420" s="3">
        <f>+AZ418+30</f>
        <v>300</v>
      </c>
    </row>
    <row r="421" spans="44:52" x14ac:dyDescent="0.15">
      <c r="AR421" s="63">
        <f t="shared" si="59"/>
        <v>2430.0008000000003</v>
      </c>
      <c r="AS421" s="3">
        <v>330</v>
      </c>
      <c r="AT421" s="63">
        <f t="shared" si="60"/>
        <v>32805.000800000002</v>
      </c>
      <c r="AU421" s="3">
        <v>330</v>
      </c>
      <c r="AW421" s="3">
        <f>+AW420+0.001</f>
        <v>3037.5010000000002</v>
      </c>
      <c r="AX421" s="3">
        <v>330</v>
      </c>
      <c r="AY421" s="3">
        <f>+AY420+0.001</f>
        <v>41006.250999999997</v>
      </c>
      <c r="AZ421" s="3">
        <v>330</v>
      </c>
    </row>
    <row r="422" spans="44:52" x14ac:dyDescent="0.15">
      <c r="AR422" s="63">
        <f t="shared" si="59"/>
        <v>3360</v>
      </c>
      <c r="AS422" s="3">
        <f>+AS420+30</f>
        <v>330</v>
      </c>
      <c r="AT422" s="63">
        <f t="shared" si="60"/>
        <v>50400</v>
      </c>
      <c r="AU422" s="3">
        <f>+AU420+30</f>
        <v>330</v>
      </c>
      <c r="AW422" s="3">
        <f>ROUND((AX422/10-5)*POWER(AX422/10-3,2)/6,2)</f>
        <v>4200</v>
      </c>
      <c r="AX422" s="3">
        <f>+AX420+30</f>
        <v>330</v>
      </c>
      <c r="AY422" s="3">
        <f>ROUND((AZ422/10-5)*POWER(AZ422/10-3,3)/12,2)</f>
        <v>63000</v>
      </c>
      <c r="AZ422" s="3">
        <f>+AZ420+30</f>
        <v>330</v>
      </c>
    </row>
    <row r="423" spans="44:52" x14ac:dyDescent="0.15">
      <c r="AR423" s="63">
        <f t="shared" si="59"/>
        <v>3360.0008000000003</v>
      </c>
      <c r="AS423" s="3">
        <f>+AS424</f>
        <v>360</v>
      </c>
      <c r="AT423" s="63">
        <f t="shared" si="60"/>
        <v>50400.000800000002</v>
      </c>
      <c r="AU423" s="3">
        <f>+AU424</f>
        <v>360</v>
      </c>
      <c r="AW423" s="3">
        <f>+AW422+0.001</f>
        <v>4200.0010000000002</v>
      </c>
      <c r="AX423" s="3">
        <f>+AX424</f>
        <v>360</v>
      </c>
      <c r="AY423" s="3">
        <f>+AY422+0.001</f>
        <v>63000.000999999997</v>
      </c>
      <c r="AZ423" s="3">
        <f>+AZ424</f>
        <v>360</v>
      </c>
    </row>
    <row r="424" spans="44:52" x14ac:dyDescent="0.15">
      <c r="AR424" s="63">
        <f t="shared" si="59"/>
        <v>4501.2</v>
      </c>
      <c r="AS424" s="3">
        <f>+AS422+30</f>
        <v>360</v>
      </c>
      <c r="AT424" s="63">
        <f t="shared" si="60"/>
        <v>74269.8</v>
      </c>
      <c r="AU424" s="3">
        <f>+AU422+30</f>
        <v>360</v>
      </c>
      <c r="AW424" s="3">
        <f>ROUND((AX424/10-5)*POWER(AX424/10-3,2)/6,2)</f>
        <v>5626.5</v>
      </c>
      <c r="AX424" s="3">
        <f>+AX422+30</f>
        <v>360</v>
      </c>
      <c r="AY424" s="3">
        <f>ROUND((AZ424/10-5)*POWER(AZ424/10-3,3)/12,2)</f>
        <v>92837.25</v>
      </c>
      <c r="AZ424" s="3">
        <f>+AZ422+30</f>
        <v>360</v>
      </c>
    </row>
    <row r="425" spans="44:52" x14ac:dyDescent="0.15">
      <c r="AR425" s="63">
        <f t="shared" si="59"/>
        <v>4501.2008000000005</v>
      </c>
      <c r="AS425" s="3">
        <f>+AS426</f>
        <v>390</v>
      </c>
      <c r="AT425" s="63">
        <f t="shared" si="60"/>
        <v>74269.800800000012</v>
      </c>
      <c r="AU425" s="3">
        <f>+AU426</f>
        <v>390</v>
      </c>
      <c r="AW425" s="3">
        <f>+AW424+0.001</f>
        <v>5626.5010000000002</v>
      </c>
      <c r="AX425" s="3">
        <f>+AX426</f>
        <v>390</v>
      </c>
      <c r="AY425" s="3">
        <f>+AY424+0.001</f>
        <v>92837.251000000004</v>
      </c>
      <c r="AZ425" s="3">
        <f>+AZ426</f>
        <v>390</v>
      </c>
    </row>
    <row r="426" spans="44:52" x14ac:dyDescent="0.15">
      <c r="AR426" s="63">
        <f t="shared" si="59"/>
        <v>5875.2000000000007</v>
      </c>
      <c r="AS426" s="3">
        <f>+AS424+30</f>
        <v>390</v>
      </c>
      <c r="AT426" s="63">
        <f t="shared" si="60"/>
        <v>105753.60000000001</v>
      </c>
      <c r="AU426" s="3">
        <f>+AU424+30</f>
        <v>390</v>
      </c>
      <c r="AW426" s="3">
        <f>ROUND((AX426/10-5)*POWER(AX426/10-3,2)/6,2)</f>
        <v>7344</v>
      </c>
      <c r="AX426" s="3">
        <f>+AX424+30</f>
        <v>390</v>
      </c>
      <c r="AY426" s="3">
        <f>ROUND((AZ426/10-5)*POWER(AZ426/10-3,3)/12,2)</f>
        <v>132192</v>
      </c>
      <c r="AZ426" s="3">
        <f>+AZ424+30</f>
        <v>390</v>
      </c>
    </row>
    <row r="427" spans="44:52" x14ac:dyDescent="0.15">
      <c r="AR427" s="63">
        <f t="shared" si="59"/>
        <v>5875.2008000000005</v>
      </c>
      <c r="AS427" s="3">
        <f>+AS428</f>
        <v>420</v>
      </c>
      <c r="AT427" s="63">
        <f t="shared" si="60"/>
        <v>105753.6008</v>
      </c>
      <c r="AU427" s="3">
        <f>+AU428</f>
        <v>420</v>
      </c>
      <c r="AW427" s="3">
        <f>+AW426+0.001</f>
        <v>7344.0010000000002</v>
      </c>
      <c r="AX427" s="3">
        <f>+AX428</f>
        <v>420</v>
      </c>
      <c r="AY427" s="3">
        <f>+AY426+0.001</f>
        <v>132192.00099999999</v>
      </c>
      <c r="AZ427" s="3">
        <f>+AZ428</f>
        <v>420</v>
      </c>
    </row>
    <row r="428" spans="44:52" x14ac:dyDescent="0.15">
      <c r="AR428" s="63">
        <f t="shared" si="59"/>
        <v>7503.6</v>
      </c>
      <c r="AS428" s="3">
        <f>+AS426+30</f>
        <v>420</v>
      </c>
      <c r="AT428" s="63">
        <f t="shared" si="60"/>
        <v>146320.20000000001</v>
      </c>
      <c r="AU428" s="3">
        <f>+AU426+30</f>
        <v>420</v>
      </c>
      <c r="AW428" s="3">
        <f>ROUND((AX428/10-5)*POWER(AX428/10-3,2)/6,2)</f>
        <v>9379.5</v>
      </c>
      <c r="AX428" s="3">
        <f>+AX426+30</f>
        <v>420</v>
      </c>
      <c r="AY428" s="3">
        <f>ROUND((AZ428/10-5)*POWER(AZ428/10-3,3)/12,2)</f>
        <v>182900.25</v>
      </c>
      <c r="AZ428" s="3">
        <f>+AZ426+30</f>
        <v>420</v>
      </c>
    </row>
    <row r="429" spans="44:52" x14ac:dyDescent="0.15">
      <c r="AR429" s="63">
        <f t="shared" si="59"/>
        <v>7503.6008000000002</v>
      </c>
      <c r="AS429" s="3">
        <f>+AS430</f>
        <v>450</v>
      </c>
      <c r="AT429" s="63">
        <f t="shared" si="60"/>
        <v>146320.20079999999</v>
      </c>
      <c r="AU429" s="3">
        <f>+AU430</f>
        <v>450</v>
      </c>
      <c r="AW429" s="3">
        <f>+AW428+0.001</f>
        <v>9379.5010000000002</v>
      </c>
      <c r="AX429" s="3">
        <f>+AX430</f>
        <v>450</v>
      </c>
      <c r="AY429" s="3">
        <f>+AY428+0.001</f>
        <v>182900.25099999999</v>
      </c>
      <c r="AZ429" s="3">
        <f>+AZ430</f>
        <v>450</v>
      </c>
    </row>
    <row r="430" spans="44:52" x14ac:dyDescent="0.15">
      <c r="AR430" s="63">
        <f t="shared" si="59"/>
        <v>9408</v>
      </c>
      <c r="AS430" s="3">
        <f>+AS428+30</f>
        <v>450</v>
      </c>
      <c r="AT430" s="63">
        <f t="shared" si="60"/>
        <v>197568</v>
      </c>
      <c r="AU430" s="3">
        <f>+AU428+30</f>
        <v>450</v>
      </c>
      <c r="AW430" s="3">
        <f>ROUND((AX430/10-5)*POWER(AX430/10-3,2)/6,2)</f>
        <v>11760</v>
      </c>
      <c r="AX430" s="3">
        <f>+AX428+30</f>
        <v>450</v>
      </c>
      <c r="AY430" s="3">
        <f>ROUND((AZ430/10-5)*POWER(AZ430/10-3,3)/12,2)</f>
        <v>246960</v>
      </c>
      <c r="AZ430" s="3">
        <f>+AZ428+30</f>
        <v>450</v>
      </c>
    </row>
    <row r="431" spans="44:52" x14ac:dyDescent="0.15">
      <c r="AR431" s="63">
        <f t="shared" si="59"/>
        <v>9408.0007999999998</v>
      </c>
      <c r="AS431" s="3">
        <f>+AS432</f>
        <v>480</v>
      </c>
      <c r="AT431" s="63">
        <f t="shared" si="60"/>
        <v>197568.00080000001</v>
      </c>
      <c r="AU431" s="3">
        <f>+AU432</f>
        <v>480</v>
      </c>
      <c r="AW431" s="3">
        <f>+AW430+0.001</f>
        <v>11760.001</v>
      </c>
      <c r="AX431" s="3">
        <f>+AX432</f>
        <v>480</v>
      </c>
      <c r="AY431" s="3">
        <f>+AY430+0.001</f>
        <v>246960.00099999999</v>
      </c>
      <c r="AZ431" s="3">
        <f>+AZ432</f>
        <v>480</v>
      </c>
    </row>
    <row r="432" spans="44:52" x14ac:dyDescent="0.15">
      <c r="AR432" s="63">
        <f t="shared" si="59"/>
        <v>11610</v>
      </c>
      <c r="AS432" s="3">
        <f>+AS430+30</f>
        <v>480</v>
      </c>
      <c r="AT432" s="63">
        <f t="shared" si="60"/>
        <v>261225</v>
      </c>
      <c r="AU432" s="3">
        <f>+AU430+30</f>
        <v>480</v>
      </c>
      <c r="AW432" s="3">
        <f>ROUND((AX432/10-5)*POWER(AX432/10-3,2)/6,2)</f>
        <v>14512.5</v>
      </c>
      <c r="AX432" s="3">
        <f>+AX430+30</f>
        <v>480</v>
      </c>
      <c r="AY432" s="3">
        <f>ROUND((AZ432/10-5)*POWER(AZ432/10-3,3)/12,2)</f>
        <v>326531.25</v>
      </c>
      <c r="AZ432" s="3">
        <f>+AZ430+30</f>
        <v>480</v>
      </c>
    </row>
    <row r="433" spans="44:52" x14ac:dyDescent="0.15">
      <c r="AR433" s="63">
        <f t="shared" si="59"/>
        <v>11610.000800000002</v>
      </c>
      <c r="AS433" s="3">
        <f>+AS434</f>
        <v>510</v>
      </c>
      <c r="AT433" s="63">
        <f t="shared" si="60"/>
        <v>261225.00080000001</v>
      </c>
      <c r="AU433" s="3">
        <f>+AU434</f>
        <v>510</v>
      </c>
      <c r="AW433" s="3">
        <f>+AW432+0.001</f>
        <v>14512.501</v>
      </c>
      <c r="AX433" s="3">
        <f>+AX434</f>
        <v>510</v>
      </c>
      <c r="AY433" s="3">
        <f>+AY432+0.001</f>
        <v>326531.25099999999</v>
      </c>
      <c r="AZ433" s="3">
        <f>+AZ434</f>
        <v>510</v>
      </c>
    </row>
    <row r="434" spans="44:52" x14ac:dyDescent="0.15">
      <c r="AR434" s="63">
        <f t="shared" si="59"/>
        <v>14131.2</v>
      </c>
      <c r="AS434" s="3">
        <f>+AS432+30</f>
        <v>510</v>
      </c>
      <c r="AT434" s="63">
        <f t="shared" si="60"/>
        <v>339148.80000000005</v>
      </c>
      <c r="AU434" s="3">
        <f>+AU432+30</f>
        <v>510</v>
      </c>
      <c r="AW434" s="3">
        <f>ROUND((AX434/10-5)*POWER(AX434/10-3,2)/6,2)</f>
        <v>17664</v>
      </c>
      <c r="AX434" s="3">
        <f>+AX432+30</f>
        <v>510</v>
      </c>
      <c r="AY434" s="3">
        <f>ROUND((AZ434/10-5)*POWER(AZ434/10-3,3)/12,2)</f>
        <v>423936</v>
      </c>
      <c r="AZ434" s="3">
        <f>+AZ432+30</f>
        <v>510</v>
      </c>
    </row>
    <row r="435" spans="44:52" x14ac:dyDescent="0.15">
      <c r="AR435" s="63">
        <f t="shared" si="59"/>
        <v>14131.200800000001</v>
      </c>
      <c r="AS435" s="3">
        <f>+AS436</f>
        <v>540</v>
      </c>
      <c r="AT435" s="63">
        <f t="shared" si="60"/>
        <v>339148.80080000003</v>
      </c>
      <c r="AU435" s="3">
        <f>+AU436</f>
        <v>540</v>
      </c>
      <c r="AW435" s="3">
        <f>+AW434+0.001</f>
        <v>17664.001</v>
      </c>
      <c r="AX435" s="3">
        <f>+AX436</f>
        <v>540</v>
      </c>
      <c r="AY435" s="3">
        <f>+AY434+0.001</f>
        <v>423936.00099999999</v>
      </c>
      <c r="AZ435" s="3">
        <f>+AZ436</f>
        <v>540</v>
      </c>
    </row>
    <row r="436" spans="44:52" x14ac:dyDescent="0.15">
      <c r="AR436" s="63">
        <f t="shared" si="59"/>
        <v>16993.2</v>
      </c>
      <c r="AS436" s="3">
        <f>+AS434+30</f>
        <v>540</v>
      </c>
      <c r="AT436" s="63">
        <f t="shared" si="60"/>
        <v>433326.60000000003</v>
      </c>
      <c r="AU436" s="3">
        <f>+AU434+30</f>
        <v>540</v>
      </c>
      <c r="AW436" s="3">
        <f>ROUND((AX436/10-5)*POWER(AX436/10-3,2)/6,2)</f>
        <v>21241.5</v>
      </c>
      <c r="AX436" s="3">
        <f>+AX434+30</f>
        <v>540</v>
      </c>
      <c r="AY436" s="3">
        <f>ROUND((AZ436/10-5)*POWER(AZ436/10-3,3)/12,2)</f>
        <v>541658.25</v>
      </c>
      <c r="AZ436" s="3">
        <f>+AZ434+30</f>
        <v>540</v>
      </c>
    </row>
    <row r="437" spans="44:52" x14ac:dyDescent="0.15">
      <c r="AR437" s="63">
        <f t="shared" si="59"/>
        <v>16993.200800000002</v>
      </c>
      <c r="AS437" s="3">
        <f>+AS438</f>
        <v>570</v>
      </c>
      <c r="AT437" s="63">
        <f t="shared" si="60"/>
        <v>433326.60080000007</v>
      </c>
      <c r="AU437" s="3">
        <f>+AU438</f>
        <v>570</v>
      </c>
      <c r="AW437" s="3">
        <f>+AW436+0.001</f>
        <v>21241.501</v>
      </c>
      <c r="AX437" s="3">
        <f>+AX438</f>
        <v>570</v>
      </c>
      <c r="AY437" s="3">
        <f>+AY436+0.001</f>
        <v>541658.25100000005</v>
      </c>
      <c r="AZ437" s="3">
        <f>+AZ438</f>
        <v>570</v>
      </c>
    </row>
    <row r="438" spans="44:52" x14ac:dyDescent="0.15">
      <c r="AR438" s="63">
        <f t="shared" si="59"/>
        <v>20217.600000000002</v>
      </c>
      <c r="AS438" s="3">
        <f>+AS436+30</f>
        <v>570</v>
      </c>
      <c r="AT438" s="63">
        <f t="shared" si="60"/>
        <v>545875.20000000007</v>
      </c>
      <c r="AU438" s="3">
        <f>+AU436+30</f>
        <v>570</v>
      </c>
      <c r="AW438" s="3">
        <f>ROUND((AX438/10-5)*POWER(AX438/10-3,2)/6,2)</f>
        <v>25272</v>
      </c>
      <c r="AX438" s="3">
        <f>+AX436+30</f>
        <v>570</v>
      </c>
      <c r="AY438" s="3">
        <f>ROUND((AZ438/10-5)*POWER(AZ438/10-3,3)/12,2)</f>
        <v>682344</v>
      </c>
      <c r="AZ438" s="3">
        <f>+AZ436+30</f>
        <v>570</v>
      </c>
    </row>
    <row r="439" spans="44:52" x14ac:dyDescent="0.15">
      <c r="AR439" s="63">
        <f t="shared" si="59"/>
        <v>20217.6008</v>
      </c>
      <c r="AS439" s="3">
        <f>+AS440</f>
        <v>600</v>
      </c>
      <c r="AT439" s="63">
        <f t="shared" si="60"/>
        <v>545875.20080000011</v>
      </c>
      <c r="AU439" s="3">
        <f>+AU440</f>
        <v>600</v>
      </c>
      <c r="AW439" s="3">
        <f>+AW438+0.001</f>
        <v>25272.001</v>
      </c>
      <c r="AX439" s="3">
        <f>+AX440</f>
        <v>600</v>
      </c>
      <c r="AY439" s="3">
        <f>+AY438+0.001</f>
        <v>682344.00100000005</v>
      </c>
      <c r="AZ439" s="3">
        <f>+AZ440</f>
        <v>600</v>
      </c>
    </row>
    <row r="440" spans="44:52" x14ac:dyDescent="0.15">
      <c r="AR440" s="63">
        <f t="shared" si="59"/>
        <v>23826</v>
      </c>
      <c r="AS440" s="3">
        <f>+AS438+30</f>
        <v>600</v>
      </c>
      <c r="AT440" s="63">
        <f t="shared" si="60"/>
        <v>679041</v>
      </c>
      <c r="AU440" s="3">
        <f>+AU438+30</f>
        <v>600</v>
      </c>
      <c r="AW440" s="3">
        <f>ROUND((AX440/10-5)*POWER(AX440/10-3,2)/6,2)</f>
        <v>29782.5</v>
      </c>
      <c r="AX440" s="3">
        <f>+AX438+30</f>
        <v>600</v>
      </c>
      <c r="AY440" s="3">
        <f>ROUND((AZ440/10-5)*POWER(AZ440/10-3,3)/12,2)</f>
        <v>848801.25</v>
      </c>
      <c r="AZ440" s="3">
        <f>+AZ438+30</f>
        <v>600</v>
      </c>
    </row>
    <row r="441" spans="44:52" x14ac:dyDescent="0.15">
      <c r="AR441" s="63">
        <f t="shared" si="59"/>
        <v>23826.000800000002</v>
      </c>
      <c r="AS441" s="3">
        <f>+AS442</f>
        <v>630</v>
      </c>
      <c r="AT441" s="63">
        <f t="shared" si="60"/>
        <v>679041.00080000004</v>
      </c>
      <c r="AU441" s="3">
        <f>+AU442</f>
        <v>630</v>
      </c>
      <c r="AW441" s="3">
        <f>+AW440+0.001</f>
        <v>29782.501</v>
      </c>
      <c r="AX441" s="3">
        <f>+AX442</f>
        <v>630</v>
      </c>
      <c r="AY441" s="3">
        <f>+AY440+0.001</f>
        <v>848801.25100000005</v>
      </c>
      <c r="AZ441" s="3">
        <f>+AZ442</f>
        <v>630</v>
      </c>
    </row>
    <row r="442" spans="44:52" x14ac:dyDescent="0.15">
      <c r="AR442" s="63">
        <f t="shared" si="59"/>
        <v>27840</v>
      </c>
      <c r="AS442" s="3">
        <f>+AS440+30</f>
        <v>630</v>
      </c>
      <c r="AT442" s="63">
        <f t="shared" si="60"/>
        <v>835200</v>
      </c>
      <c r="AU442" s="3">
        <f>+AU440+30</f>
        <v>630</v>
      </c>
      <c r="AW442" s="3">
        <f>ROUND((AX442/10-5)*POWER(AX442/10-3,2)/6,2)</f>
        <v>34800</v>
      </c>
      <c r="AX442" s="3">
        <f>+AX440+30</f>
        <v>630</v>
      </c>
      <c r="AY442" s="3">
        <f>ROUND((AZ442/10-5)*POWER(AZ442/10-3,3)/12,2)</f>
        <v>1044000</v>
      </c>
      <c r="AZ442" s="3">
        <f>+AZ440+30</f>
        <v>630</v>
      </c>
    </row>
    <row r="443" spans="44:52" x14ac:dyDescent="0.15">
      <c r="AR443" s="63">
        <f t="shared" si="59"/>
        <v>27840.000799999998</v>
      </c>
      <c r="AS443" s="3">
        <v>0</v>
      </c>
      <c r="AT443" s="63">
        <f t="shared" si="60"/>
        <v>835200.00080000004</v>
      </c>
      <c r="AU443" s="3">
        <v>0</v>
      </c>
      <c r="AW443" s="3">
        <f>+AW442+0.001</f>
        <v>34800.000999999997</v>
      </c>
      <c r="AY443" s="3">
        <f>+AY442+0.001</f>
        <v>1044000.001</v>
      </c>
    </row>
    <row r="568" spans="3:16" x14ac:dyDescent="0.15">
      <c r="C568" s="63"/>
      <c r="D568" s="63"/>
      <c r="E568" s="63"/>
      <c r="F568" s="63"/>
      <c r="G568" s="63"/>
      <c r="H568" s="10"/>
      <c r="I568" s="63"/>
      <c r="J568" s="63"/>
      <c r="K568" s="63"/>
      <c r="L568" s="63"/>
      <c r="M568" s="63"/>
      <c r="N568" s="63"/>
      <c r="O568" s="63"/>
      <c r="P568" s="63"/>
    </row>
    <row r="569" spans="3:16" hidden="1" x14ac:dyDescent="0.15">
      <c r="C569" s="63"/>
      <c r="D569" s="63"/>
      <c r="E569" s="63"/>
      <c r="F569" s="63"/>
      <c r="G569" s="63"/>
      <c r="H569" s="10" t="s">
        <v>23</v>
      </c>
      <c r="I569" s="63"/>
      <c r="J569" s="63"/>
      <c r="K569" s="63"/>
      <c r="L569" s="63"/>
      <c r="M569" s="63"/>
      <c r="N569" s="63"/>
      <c r="O569" s="63"/>
      <c r="P569" s="63"/>
    </row>
    <row r="570" spans="3:16" hidden="1" x14ac:dyDescent="0.15">
      <c r="C570" s="63"/>
      <c r="D570" s="63"/>
      <c r="E570" s="63"/>
      <c r="F570" s="63"/>
      <c r="G570" s="63"/>
      <c r="H570" s="10" t="s">
        <v>24</v>
      </c>
      <c r="I570" s="63"/>
      <c r="J570" s="63"/>
      <c r="K570" s="63"/>
      <c r="L570" s="63"/>
      <c r="M570" s="63"/>
      <c r="N570" s="63"/>
      <c r="O570" s="63"/>
      <c r="P570" s="63"/>
    </row>
    <row r="571" spans="3:16" hidden="1" x14ac:dyDescent="0.15">
      <c r="C571" s="63"/>
      <c r="D571" s="63"/>
      <c r="E571" s="63"/>
      <c r="F571" s="63"/>
      <c r="G571" s="63"/>
      <c r="H571" s="10" t="s">
        <v>25</v>
      </c>
      <c r="I571" s="63"/>
      <c r="J571" s="63"/>
      <c r="K571" s="63"/>
      <c r="L571" s="63"/>
      <c r="M571" s="63"/>
      <c r="N571" s="63"/>
      <c r="O571" s="63"/>
      <c r="P571" s="63"/>
    </row>
    <row r="572" spans="3:16" hidden="1" x14ac:dyDescent="0.15">
      <c r="C572" s="63"/>
      <c r="D572" s="63"/>
      <c r="E572" s="63"/>
      <c r="F572" s="63"/>
      <c r="G572" s="63"/>
      <c r="H572" s="10" t="s">
        <v>26</v>
      </c>
      <c r="I572" s="63"/>
      <c r="J572" s="63"/>
      <c r="K572" s="63"/>
      <c r="L572" s="63"/>
      <c r="M572" s="63"/>
      <c r="N572" s="63"/>
      <c r="O572" s="63"/>
      <c r="P572" s="63"/>
    </row>
    <row r="573" spans="3:16" hidden="1" x14ac:dyDescent="0.15">
      <c r="C573" s="63"/>
      <c r="D573" s="63"/>
      <c r="E573" s="63"/>
      <c r="F573" s="63"/>
      <c r="G573" s="63"/>
      <c r="H573" s="10" t="s">
        <v>27</v>
      </c>
      <c r="I573" s="63"/>
      <c r="J573" s="63"/>
      <c r="K573" s="63"/>
      <c r="L573" s="63"/>
      <c r="M573" s="63"/>
      <c r="N573" s="63"/>
      <c r="O573" s="63"/>
      <c r="P573" s="63"/>
    </row>
    <row r="574" spans="3:16" hidden="1" x14ac:dyDescent="0.15">
      <c r="C574" s="63"/>
      <c r="D574" s="63"/>
      <c r="E574" s="63"/>
      <c r="F574" s="63"/>
      <c r="G574" s="63"/>
      <c r="H574" s="10" t="s">
        <v>28</v>
      </c>
      <c r="I574" s="63"/>
      <c r="J574" s="63"/>
      <c r="K574" s="63"/>
      <c r="L574" s="63"/>
      <c r="M574" s="63"/>
      <c r="N574" s="63"/>
      <c r="O574" s="63"/>
      <c r="P574" s="63"/>
    </row>
    <row r="575" spans="3:16" hidden="1" x14ac:dyDescent="0.15">
      <c r="C575" s="63"/>
      <c r="D575" s="63"/>
      <c r="E575" s="63"/>
      <c r="F575" s="63"/>
      <c r="G575" s="63"/>
      <c r="H575" s="10" t="s">
        <v>29</v>
      </c>
      <c r="I575" s="63"/>
      <c r="J575" s="63"/>
      <c r="K575" s="63"/>
      <c r="L575" s="63"/>
      <c r="M575" s="63"/>
      <c r="N575" s="63"/>
      <c r="O575" s="63"/>
      <c r="P575" s="63"/>
    </row>
    <row r="576" spans="3:16" hidden="1" x14ac:dyDescent="0.15">
      <c r="C576" s="63"/>
      <c r="D576" s="63"/>
      <c r="E576" s="63"/>
      <c r="F576" s="63"/>
      <c r="G576" s="63"/>
      <c r="H576" s="10" t="s">
        <v>30</v>
      </c>
      <c r="I576" s="63"/>
      <c r="J576" s="63"/>
      <c r="K576" s="63"/>
      <c r="L576" s="63"/>
      <c r="M576" s="63"/>
      <c r="N576" s="63"/>
      <c r="O576" s="63"/>
      <c r="P576" s="63"/>
    </row>
    <row r="577" spans="3:16" hidden="1" x14ac:dyDescent="0.15">
      <c r="C577" s="63"/>
      <c r="D577" s="63"/>
      <c r="E577" s="63"/>
      <c r="F577" s="63"/>
      <c r="G577" s="63"/>
      <c r="H577" s="10" t="s">
        <v>31</v>
      </c>
      <c r="I577" s="63"/>
      <c r="J577" s="63"/>
      <c r="K577" s="63"/>
      <c r="L577" s="63"/>
      <c r="M577" s="63"/>
      <c r="N577" s="63"/>
      <c r="O577" s="63"/>
      <c r="P577" s="63"/>
    </row>
    <row r="578" spans="3:16" hidden="1" x14ac:dyDescent="0.15">
      <c r="C578" s="63"/>
      <c r="D578" s="63"/>
      <c r="E578" s="63"/>
      <c r="F578" s="63"/>
      <c r="G578" s="63"/>
      <c r="H578" s="10" t="s">
        <v>32</v>
      </c>
      <c r="I578" s="63"/>
      <c r="J578" s="63"/>
      <c r="K578" s="63"/>
      <c r="L578" s="63"/>
      <c r="M578" s="63"/>
      <c r="N578" s="63"/>
      <c r="O578" s="63"/>
      <c r="P578" s="63"/>
    </row>
    <row r="579" spans="3:16" hidden="1" x14ac:dyDescent="0.15">
      <c r="C579" s="63"/>
      <c r="D579" s="63"/>
      <c r="E579" s="63"/>
      <c r="F579" s="63"/>
      <c r="G579" s="63"/>
      <c r="H579" s="10" t="s">
        <v>33</v>
      </c>
      <c r="I579" s="63"/>
      <c r="J579" s="63"/>
      <c r="K579" s="63"/>
      <c r="L579" s="63"/>
      <c r="M579" s="63"/>
      <c r="N579" s="63"/>
      <c r="O579" s="63"/>
      <c r="P579" s="63"/>
    </row>
    <row r="580" spans="3:16" hidden="1" x14ac:dyDescent="0.15">
      <c r="C580" s="63"/>
      <c r="D580" s="63"/>
      <c r="E580" s="63"/>
      <c r="F580" s="63"/>
      <c r="G580" s="63"/>
      <c r="H580" s="10" t="s">
        <v>34</v>
      </c>
      <c r="I580" s="63"/>
      <c r="J580" s="63"/>
      <c r="K580" s="63"/>
      <c r="L580" s="63"/>
      <c r="M580" s="63"/>
      <c r="N580" s="63"/>
      <c r="O580" s="63"/>
      <c r="P580" s="63"/>
    </row>
    <row r="581" spans="3:16" hidden="1" x14ac:dyDescent="0.15">
      <c r="C581" s="63"/>
      <c r="D581" s="63"/>
      <c r="E581" s="63"/>
      <c r="F581" s="63"/>
      <c r="G581" s="63"/>
      <c r="H581" s="10" t="s">
        <v>35</v>
      </c>
      <c r="I581" s="63"/>
      <c r="J581" s="63"/>
      <c r="K581" s="63"/>
      <c r="L581" s="63"/>
      <c r="M581" s="63"/>
      <c r="N581" s="63"/>
      <c r="O581" s="63"/>
      <c r="P581" s="63"/>
    </row>
    <row r="582" spans="3:16" hidden="1" x14ac:dyDescent="0.15">
      <c r="C582" s="63"/>
      <c r="D582" s="63"/>
      <c r="E582" s="63"/>
      <c r="F582" s="63"/>
      <c r="G582" s="63"/>
      <c r="H582" s="10" t="s">
        <v>36</v>
      </c>
      <c r="I582" s="63"/>
      <c r="J582" s="63"/>
      <c r="K582" s="63"/>
      <c r="L582" s="63"/>
      <c r="M582" s="63"/>
      <c r="N582" s="63"/>
      <c r="O582" s="63"/>
      <c r="P582" s="63"/>
    </row>
    <row r="583" spans="3:16" hidden="1" x14ac:dyDescent="0.15">
      <c r="C583" s="63"/>
      <c r="D583" s="63"/>
      <c r="E583" s="63"/>
      <c r="F583" s="63"/>
      <c r="G583" s="63"/>
      <c r="H583" s="10" t="s">
        <v>37</v>
      </c>
      <c r="I583" s="63"/>
      <c r="J583" s="63"/>
      <c r="K583" s="63"/>
      <c r="L583" s="63"/>
      <c r="M583" s="63"/>
      <c r="N583" s="63"/>
      <c r="O583" s="63"/>
      <c r="P583" s="63"/>
    </row>
    <row r="584" spans="3:16" hidden="1" x14ac:dyDescent="0.15">
      <c r="C584" s="63"/>
      <c r="D584" s="63"/>
      <c r="E584" s="63"/>
      <c r="F584" s="63"/>
      <c r="G584" s="63"/>
      <c r="H584" s="10" t="s">
        <v>38</v>
      </c>
      <c r="I584" s="63"/>
      <c r="J584" s="63"/>
      <c r="K584" s="63"/>
      <c r="L584" s="63"/>
      <c r="M584" s="63"/>
      <c r="N584" s="63"/>
      <c r="O584" s="63"/>
      <c r="P584" s="63"/>
    </row>
    <row r="585" spans="3:16" hidden="1" x14ac:dyDescent="0.15">
      <c r="C585" s="63"/>
      <c r="D585" s="63"/>
      <c r="E585" s="63"/>
      <c r="F585" s="63"/>
      <c r="G585" s="63"/>
      <c r="H585" s="10" t="s">
        <v>39</v>
      </c>
      <c r="I585" s="63"/>
      <c r="J585" s="63"/>
      <c r="K585" s="63"/>
      <c r="L585" s="63"/>
      <c r="M585" s="63"/>
      <c r="N585" s="63"/>
      <c r="O585" s="63"/>
      <c r="P585" s="63"/>
    </row>
    <row r="586" spans="3:16" hidden="1" x14ac:dyDescent="0.15">
      <c r="C586" s="78"/>
      <c r="D586" s="78"/>
      <c r="E586" s="63"/>
      <c r="F586" s="63"/>
      <c r="G586" s="63"/>
      <c r="H586" s="10"/>
      <c r="I586" s="63"/>
      <c r="J586" s="63"/>
      <c r="K586" s="63"/>
      <c r="L586" s="63"/>
      <c r="M586" s="63"/>
      <c r="N586" s="63"/>
      <c r="O586" s="63"/>
      <c r="P586" s="63"/>
    </row>
    <row r="587" spans="3:16" hidden="1" x14ac:dyDescent="0.15">
      <c r="C587" s="79" t="s">
        <v>278</v>
      </c>
      <c r="D587" s="79"/>
      <c r="E587" s="63"/>
      <c r="F587" s="63"/>
      <c r="G587" s="63"/>
      <c r="H587" s="10"/>
      <c r="I587" s="63"/>
      <c r="J587" s="63"/>
      <c r="K587" s="63"/>
      <c r="L587" s="63"/>
      <c r="M587" s="63"/>
      <c r="N587" s="63"/>
      <c r="O587" s="63"/>
      <c r="P587" s="63"/>
    </row>
    <row r="588" spans="3:16" hidden="1" x14ac:dyDescent="0.15">
      <c r="C588" s="79" t="s">
        <v>279</v>
      </c>
      <c r="D588" s="79"/>
      <c r="E588" s="63"/>
      <c r="F588" s="63"/>
      <c r="G588" s="63"/>
      <c r="H588" s="10"/>
      <c r="I588" s="63"/>
      <c r="J588" s="63"/>
      <c r="K588" s="63"/>
      <c r="L588" s="63"/>
      <c r="M588" s="63"/>
      <c r="N588" s="63"/>
      <c r="O588" s="63"/>
      <c r="P588" s="63"/>
    </row>
    <row r="589" spans="3:16" hidden="1" x14ac:dyDescent="0.15">
      <c r="C589" s="79" t="s">
        <v>280</v>
      </c>
      <c r="D589" s="79"/>
      <c r="E589" s="63"/>
      <c r="F589" s="63">
        <v>21</v>
      </c>
      <c r="G589" s="63"/>
      <c r="H589" s="10"/>
      <c r="I589" s="63"/>
      <c r="J589" s="63"/>
      <c r="K589" s="63"/>
      <c r="L589" s="63"/>
      <c r="M589" s="63"/>
      <c r="N589" s="63"/>
      <c r="O589" s="63"/>
      <c r="P589" s="63"/>
    </row>
    <row r="590" spans="3:16" hidden="1" x14ac:dyDescent="0.15">
      <c r="C590" s="79" t="s">
        <v>281</v>
      </c>
      <c r="D590" s="79"/>
      <c r="E590" s="63"/>
      <c r="F590" s="63">
        <v>24</v>
      </c>
      <c r="G590" s="63"/>
      <c r="H590" s="10"/>
      <c r="I590" s="63"/>
      <c r="J590" s="63" t="s">
        <v>251</v>
      </c>
      <c r="K590" s="63"/>
      <c r="L590" s="63"/>
      <c r="M590" s="63"/>
      <c r="N590" s="63"/>
      <c r="O590" s="63"/>
      <c r="P590" s="63"/>
    </row>
    <row r="591" spans="3:16" hidden="1" x14ac:dyDescent="0.15">
      <c r="C591" s="79" t="s">
        <v>282</v>
      </c>
      <c r="D591" s="79"/>
      <c r="E591" s="63"/>
      <c r="F591" s="63">
        <v>30</v>
      </c>
      <c r="G591" s="63"/>
      <c r="H591" s="10"/>
      <c r="I591" s="63"/>
      <c r="J591" s="63" t="s">
        <v>252</v>
      </c>
      <c r="K591" s="63"/>
      <c r="L591" s="63"/>
      <c r="M591" s="63"/>
      <c r="N591" s="63"/>
      <c r="O591" s="63"/>
      <c r="P591" s="63"/>
    </row>
    <row r="592" spans="3:16" hidden="1" x14ac:dyDescent="0.15">
      <c r="C592" s="82" t="s">
        <v>283</v>
      </c>
      <c r="D592" s="82"/>
      <c r="E592" s="63"/>
      <c r="F592" s="63">
        <v>40</v>
      </c>
      <c r="G592" s="63"/>
      <c r="H592" s="10"/>
      <c r="I592" s="63"/>
      <c r="J592" s="63"/>
      <c r="K592" s="63"/>
      <c r="L592" s="63"/>
      <c r="M592" s="63"/>
      <c r="N592" s="63"/>
      <c r="O592" s="63"/>
      <c r="P592" s="63"/>
    </row>
    <row r="593" spans="3:16" hidden="1" x14ac:dyDescent="0.15">
      <c r="C593" s="14" t="s">
        <v>284</v>
      </c>
      <c r="D593" s="14"/>
      <c r="E593" s="63"/>
      <c r="F593" s="63">
        <v>45</v>
      </c>
      <c r="G593" s="63"/>
      <c r="H593" s="10"/>
      <c r="I593" s="63"/>
      <c r="J593" s="63"/>
      <c r="K593" s="63"/>
      <c r="L593" s="63"/>
      <c r="M593" s="63"/>
      <c r="N593" s="63"/>
      <c r="O593" s="63"/>
      <c r="P593" s="63"/>
    </row>
    <row r="594" spans="3:16" hidden="1" x14ac:dyDescent="0.15">
      <c r="C594" s="79" t="s">
        <v>285</v>
      </c>
      <c r="D594" s="79"/>
      <c r="E594" s="63"/>
      <c r="F594" s="63">
        <v>60</v>
      </c>
      <c r="G594" s="63"/>
      <c r="H594" s="10"/>
      <c r="I594" s="63">
        <v>1</v>
      </c>
      <c r="J594" s="77" t="s">
        <v>260</v>
      </c>
      <c r="K594" s="96">
        <f>+準備!G20</f>
        <v>450</v>
      </c>
      <c r="L594" s="63" t="e">
        <f>ROUND(K594*#REF!/100,1)</f>
        <v>#REF!</v>
      </c>
      <c r="M594" s="63">
        <v>1</v>
      </c>
      <c r="N594" s="3" t="s">
        <v>727</v>
      </c>
      <c r="O594" s="96">
        <f>+準備!G20</f>
        <v>450</v>
      </c>
      <c r="P594" s="63"/>
    </row>
    <row r="595" spans="3:16" hidden="1" x14ac:dyDescent="0.15">
      <c r="C595" s="79" t="s">
        <v>286</v>
      </c>
      <c r="D595" s="79"/>
      <c r="E595" s="63"/>
      <c r="F595" s="63">
        <v>75</v>
      </c>
      <c r="G595" s="63"/>
      <c r="H595" s="10"/>
      <c r="I595" s="63">
        <v>2</v>
      </c>
      <c r="J595" s="77" t="s">
        <v>261</v>
      </c>
      <c r="K595" s="96">
        <f>+準備!G24</f>
        <v>1100</v>
      </c>
      <c r="L595" s="63" t="e">
        <f>ROUND(K595*#REF!/100,1)</f>
        <v>#REF!</v>
      </c>
      <c r="M595" s="63">
        <v>2</v>
      </c>
      <c r="N595" s="3" t="s">
        <v>728</v>
      </c>
      <c r="O595" s="96">
        <f>+準備!G24</f>
        <v>1100</v>
      </c>
      <c r="P595" s="63"/>
    </row>
    <row r="596" spans="3:16" hidden="1" x14ac:dyDescent="0.15">
      <c r="C596" s="63"/>
      <c r="D596" s="63"/>
      <c r="E596" s="63"/>
      <c r="F596" s="63">
        <v>90</v>
      </c>
      <c r="G596" s="63">
        <v>21</v>
      </c>
      <c r="H596" s="10"/>
      <c r="I596" s="63">
        <v>3</v>
      </c>
      <c r="J596" s="77" t="s">
        <v>262</v>
      </c>
      <c r="K596" s="96">
        <f>+準備!G28</f>
        <v>1400</v>
      </c>
      <c r="L596" s="63" t="e">
        <f>ROUND(K596*#REF!/100,1)</f>
        <v>#REF!</v>
      </c>
      <c r="M596" s="63">
        <v>3</v>
      </c>
      <c r="N596" s="3" t="s">
        <v>729</v>
      </c>
      <c r="O596" s="96">
        <f>+準備!G28</f>
        <v>1400</v>
      </c>
      <c r="P596" s="63"/>
    </row>
    <row r="597" spans="3:16" hidden="1" x14ac:dyDescent="0.15">
      <c r="C597" s="63"/>
      <c r="D597" s="63"/>
      <c r="E597" s="63"/>
      <c r="F597" s="63">
        <v>105</v>
      </c>
      <c r="G597" s="63">
        <v>24</v>
      </c>
      <c r="H597" s="63"/>
      <c r="I597" s="63"/>
      <c r="J597" s="77"/>
      <c r="K597" s="63"/>
      <c r="L597" s="63"/>
      <c r="M597" s="63">
        <v>4</v>
      </c>
      <c r="N597" s="3" t="s">
        <v>730</v>
      </c>
      <c r="O597" s="96">
        <f>+準備!G32</f>
        <v>1750</v>
      </c>
      <c r="P597" s="63"/>
    </row>
    <row r="598" spans="3:16" hidden="1" x14ac:dyDescent="0.15">
      <c r="C598" s="63"/>
      <c r="D598" s="63"/>
      <c r="E598" s="63"/>
      <c r="F598" s="63">
        <v>120</v>
      </c>
      <c r="G598" s="63">
        <v>30</v>
      </c>
      <c r="H598" s="63"/>
      <c r="I598" s="63"/>
      <c r="J598" s="77">
        <v>1</v>
      </c>
      <c r="K598" s="63"/>
      <c r="L598" s="63"/>
      <c r="M598" s="63">
        <v>5</v>
      </c>
      <c r="N598" s="3" t="s">
        <v>731</v>
      </c>
      <c r="O598" s="96">
        <f>+準備!G36</f>
        <v>1750</v>
      </c>
      <c r="P598" s="63"/>
    </row>
    <row r="599" spans="3:16" hidden="1" x14ac:dyDescent="0.15">
      <c r="C599" s="63"/>
      <c r="D599" s="63"/>
      <c r="E599" s="63"/>
      <c r="F599" s="63">
        <v>135</v>
      </c>
      <c r="G599" s="63">
        <v>40</v>
      </c>
      <c r="H599" s="63"/>
      <c r="I599" s="63"/>
      <c r="J599" s="10">
        <v>0.9</v>
      </c>
      <c r="K599" s="63"/>
      <c r="L599" s="63"/>
      <c r="M599" s="63">
        <v>6</v>
      </c>
      <c r="N599" s="23" t="s">
        <v>732</v>
      </c>
      <c r="O599" s="96">
        <f>+準備!G38</f>
        <v>400</v>
      </c>
      <c r="P599" s="63"/>
    </row>
    <row r="600" spans="3:16" hidden="1" x14ac:dyDescent="0.15">
      <c r="C600" s="63"/>
      <c r="D600" s="63"/>
      <c r="E600" s="63"/>
      <c r="F600" s="63">
        <v>150</v>
      </c>
      <c r="G600" s="63">
        <v>45</v>
      </c>
      <c r="H600" s="63"/>
      <c r="I600" s="63"/>
      <c r="J600" s="77">
        <v>0.8</v>
      </c>
      <c r="K600" s="63"/>
      <c r="L600" s="63"/>
      <c r="M600" s="63"/>
      <c r="N600" s="63"/>
      <c r="O600" s="63"/>
      <c r="P600" s="63"/>
    </row>
    <row r="601" spans="3:16" hidden="1" x14ac:dyDescent="0.15">
      <c r="C601" s="63"/>
      <c r="D601" s="63"/>
      <c r="E601" s="63"/>
      <c r="F601" s="63">
        <v>180</v>
      </c>
      <c r="G601" s="63">
        <v>60</v>
      </c>
      <c r="H601" s="63"/>
      <c r="I601" s="63"/>
      <c r="J601" s="77"/>
      <c r="K601" s="63"/>
      <c r="L601" s="63"/>
      <c r="M601" s="63"/>
      <c r="N601" s="63"/>
      <c r="O601" s="63"/>
      <c r="P601" s="63"/>
    </row>
    <row r="602" spans="3:16" hidden="1" x14ac:dyDescent="0.15">
      <c r="C602" s="63"/>
      <c r="D602" s="63"/>
      <c r="E602" s="63"/>
      <c r="F602" s="63">
        <v>210</v>
      </c>
      <c r="G602" s="63">
        <v>75</v>
      </c>
      <c r="H602" s="10"/>
      <c r="I602" s="63"/>
      <c r="J602" s="77"/>
      <c r="K602" s="63"/>
      <c r="L602" s="63"/>
      <c r="M602" s="63"/>
      <c r="N602" s="63"/>
      <c r="O602" s="63"/>
      <c r="P602" s="63"/>
    </row>
    <row r="603" spans="3:16" hidden="1" x14ac:dyDescent="0.15">
      <c r="C603" s="63"/>
      <c r="D603" s="63"/>
      <c r="E603" s="63"/>
      <c r="F603" s="63">
        <v>240</v>
      </c>
      <c r="G603" s="63">
        <v>90</v>
      </c>
      <c r="H603" s="10"/>
      <c r="I603" s="63"/>
      <c r="J603" s="63">
        <v>1</v>
      </c>
      <c r="K603" s="63">
        <v>2</v>
      </c>
      <c r="L603" s="63">
        <v>3</v>
      </c>
      <c r="M603" s="63"/>
      <c r="N603" s="63"/>
      <c r="O603" s="63"/>
      <c r="P603" s="63"/>
    </row>
    <row r="604" spans="3:16" hidden="1" x14ac:dyDescent="0.15">
      <c r="C604" s="63"/>
      <c r="D604" s="63"/>
      <c r="E604" s="63"/>
      <c r="F604" s="63">
        <v>270</v>
      </c>
      <c r="G604" s="63">
        <v>105</v>
      </c>
      <c r="H604" s="10"/>
      <c r="I604" s="80">
        <v>1</v>
      </c>
      <c r="J604" s="81"/>
      <c r="K604" s="81">
        <v>300</v>
      </c>
      <c r="L604" s="81"/>
      <c r="M604" s="81"/>
      <c r="N604" s="63"/>
      <c r="O604" s="63"/>
      <c r="P604" s="63"/>
    </row>
    <row r="605" spans="3:16" hidden="1" x14ac:dyDescent="0.15">
      <c r="C605" s="63"/>
      <c r="D605" s="63"/>
      <c r="E605" s="63"/>
      <c r="F605" s="63">
        <v>300</v>
      </c>
      <c r="G605" s="63">
        <v>120</v>
      </c>
      <c r="H605" s="10"/>
      <c r="I605" s="80">
        <v>2</v>
      </c>
      <c r="J605" s="81">
        <v>200</v>
      </c>
      <c r="K605" s="81">
        <v>200</v>
      </c>
      <c r="L605" s="81">
        <v>150</v>
      </c>
      <c r="M605" s="81"/>
      <c r="N605" s="63"/>
      <c r="O605" s="63"/>
      <c r="P605" s="63"/>
    </row>
    <row r="606" spans="3:16" hidden="1" x14ac:dyDescent="0.15">
      <c r="C606" s="63"/>
      <c r="D606" s="63"/>
      <c r="E606" s="63"/>
      <c r="F606" s="63">
        <v>330</v>
      </c>
      <c r="G606" s="63">
        <v>135</v>
      </c>
      <c r="H606" s="10"/>
      <c r="I606" s="80">
        <v>3</v>
      </c>
      <c r="J606" s="81">
        <v>200</v>
      </c>
      <c r="K606" s="81">
        <v>200</v>
      </c>
      <c r="L606" s="81">
        <v>150</v>
      </c>
      <c r="M606" s="81"/>
      <c r="N606" s="63"/>
      <c r="O606" s="63"/>
      <c r="P606" s="63"/>
    </row>
    <row r="607" spans="3:16" hidden="1" x14ac:dyDescent="0.15">
      <c r="C607" s="63"/>
      <c r="D607" s="63"/>
      <c r="E607" s="63"/>
      <c r="F607" s="63">
        <v>360</v>
      </c>
      <c r="G607" s="63">
        <v>150</v>
      </c>
      <c r="H607" s="10"/>
      <c r="I607" s="80">
        <v>4</v>
      </c>
      <c r="J607" s="81">
        <v>200</v>
      </c>
      <c r="K607" s="81">
        <v>200</v>
      </c>
      <c r="L607" s="81">
        <v>150</v>
      </c>
      <c r="M607" s="81"/>
      <c r="N607" s="63"/>
      <c r="O607" s="63"/>
      <c r="P607" s="63"/>
    </row>
    <row r="608" spans="3:16" hidden="1" x14ac:dyDescent="0.15">
      <c r="C608" s="63"/>
      <c r="D608" s="63"/>
      <c r="E608" s="63"/>
      <c r="F608" s="63">
        <v>390</v>
      </c>
      <c r="G608" s="63">
        <v>180</v>
      </c>
      <c r="H608" s="10"/>
      <c r="I608" s="80">
        <v>5</v>
      </c>
      <c r="J608" s="81"/>
      <c r="K608" s="81">
        <v>300</v>
      </c>
      <c r="L608" s="81"/>
      <c r="M608" s="81"/>
      <c r="N608" s="63"/>
      <c r="O608" s="63"/>
      <c r="P608" s="63"/>
    </row>
    <row r="609" spans="3:16" hidden="1" x14ac:dyDescent="0.15">
      <c r="C609" s="63"/>
      <c r="D609" s="63"/>
      <c r="E609" s="63"/>
      <c r="F609" s="63">
        <v>420</v>
      </c>
      <c r="G609" s="63">
        <v>210</v>
      </c>
      <c r="H609" s="10"/>
      <c r="I609" s="80">
        <v>6</v>
      </c>
      <c r="J609" s="81">
        <v>200</v>
      </c>
      <c r="K609" s="81">
        <v>200</v>
      </c>
      <c r="L609" s="81">
        <v>150</v>
      </c>
      <c r="M609" s="81"/>
      <c r="N609" s="63"/>
      <c r="O609" s="63"/>
      <c r="P609" s="63"/>
    </row>
    <row r="610" spans="3:16" hidden="1" x14ac:dyDescent="0.15">
      <c r="C610" s="63"/>
      <c r="D610" s="63"/>
      <c r="E610" s="63"/>
      <c r="F610" s="63">
        <v>450</v>
      </c>
      <c r="G610" s="63">
        <v>240</v>
      </c>
      <c r="H610" s="10"/>
      <c r="I610" s="80">
        <v>7</v>
      </c>
      <c r="J610" s="81">
        <v>200</v>
      </c>
      <c r="K610" s="81">
        <v>200</v>
      </c>
      <c r="L610" s="81">
        <v>150</v>
      </c>
      <c r="M610" s="81"/>
      <c r="N610" s="63"/>
      <c r="O610" s="63"/>
      <c r="P610" s="63"/>
    </row>
    <row r="611" spans="3:16" hidden="1" x14ac:dyDescent="0.15">
      <c r="C611" s="63"/>
      <c r="D611" s="63"/>
      <c r="E611" s="63"/>
      <c r="F611" s="63">
        <f t="shared" ref="F611:F616" si="61">+F610+30</f>
        <v>480</v>
      </c>
      <c r="H611" s="10"/>
      <c r="I611" s="80">
        <v>8</v>
      </c>
      <c r="J611" s="81">
        <v>300</v>
      </c>
      <c r="K611" s="81">
        <v>300</v>
      </c>
      <c r="L611" s="81">
        <v>225</v>
      </c>
      <c r="M611" s="81"/>
      <c r="N611" s="63"/>
      <c r="O611" s="63"/>
      <c r="P611" s="63"/>
    </row>
    <row r="612" spans="3:16" hidden="1" x14ac:dyDescent="0.15">
      <c r="C612" s="63"/>
      <c r="D612" s="63"/>
      <c r="E612" s="63"/>
      <c r="F612" s="63">
        <f t="shared" si="61"/>
        <v>510</v>
      </c>
      <c r="G612" s="63"/>
      <c r="H612" s="10"/>
      <c r="I612" s="80">
        <v>9</v>
      </c>
      <c r="J612" s="81">
        <v>300</v>
      </c>
      <c r="K612" s="81">
        <v>300</v>
      </c>
      <c r="L612" s="81">
        <v>225</v>
      </c>
      <c r="M612" s="81"/>
      <c r="N612" s="63"/>
      <c r="O612" s="63"/>
      <c r="P612" s="63"/>
    </row>
    <row r="613" spans="3:16" hidden="1" x14ac:dyDescent="0.15">
      <c r="C613" s="63"/>
      <c r="D613" s="63"/>
      <c r="E613" s="63"/>
      <c r="F613" s="63">
        <f t="shared" si="61"/>
        <v>540</v>
      </c>
      <c r="G613" s="63"/>
      <c r="H613" s="10"/>
      <c r="I613" s="63"/>
      <c r="J613" s="63"/>
      <c r="K613" s="63"/>
      <c r="L613" s="63"/>
      <c r="M613" s="63"/>
      <c r="N613" s="63"/>
      <c r="O613" s="63"/>
      <c r="P613" s="63"/>
    </row>
    <row r="614" spans="3:16" hidden="1" x14ac:dyDescent="0.15">
      <c r="C614" s="63"/>
      <c r="D614" s="63"/>
      <c r="E614" s="63"/>
      <c r="F614" s="63">
        <f t="shared" si="61"/>
        <v>570</v>
      </c>
      <c r="G614" s="63"/>
      <c r="H614" s="10"/>
      <c r="I614" s="63"/>
      <c r="J614" s="63"/>
      <c r="K614" s="63"/>
      <c r="L614" s="63"/>
      <c r="M614" s="63"/>
      <c r="N614" s="63"/>
      <c r="O614" s="63"/>
      <c r="P614" s="63"/>
    </row>
    <row r="615" spans="3:16" hidden="1" x14ac:dyDescent="0.15">
      <c r="C615" s="63"/>
      <c r="D615" s="63"/>
      <c r="E615" s="63"/>
      <c r="F615" s="63">
        <f t="shared" si="61"/>
        <v>600</v>
      </c>
      <c r="G615" s="63"/>
      <c r="H615" s="10"/>
      <c r="I615" s="63"/>
      <c r="J615" s="13">
        <v>1</v>
      </c>
      <c r="K615" s="63"/>
      <c r="L615" s="63"/>
      <c r="M615" s="63"/>
      <c r="N615" s="63"/>
      <c r="O615" s="63"/>
      <c r="P615" s="63"/>
    </row>
    <row r="616" spans="3:16" hidden="1" x14ac:dyDescent="0.15">
      <c r="C616" s="63"/>
      <c r="D616" s="63"/>
      <c r="E616" s="63"/>
      <c r="F616" s="63">
        <f t="shared" si="61"/>
        <v>630</v>
      </c>
      <c r="G616" s="63"/>
      <c r="H616" s="10"/>
      <c r="I616" s="63"/>
      <c r="J616" s="63">
        <v>2</v>
      </c>
      <c r="K616" s="63"/>
      <c r="L616" s="63"/>
      <c r="M616" s="63"/>
      <c r="N616" s="63"/>
      <c r="O616" s="63"/>
      <c r="P616" s="63"/>
    </row>
    <row r="617" spans="3:16" hidden="1" x14ac:dyDescent="0.15">
      <c r="C617" s="63"/>
      <c r="D617" s="63"/>
      <c r="E617" s="63"/>
      <c r="F617" s="63">
        <v>0</v>
      </c>
      <c r="G617" s="63"/>
      <c r="H617" s="10"/>
      <c r="I617" s="63"/>
      <c r="J617" s="83" t="s">
        <v>422</v>
      </c>
      <c r="K617" s="63"/>
      <c r="L617" s="63"/>
      <c r="M617" s="63"/>
      <c r="N617" s="63"/>
      <c r="O617" s="63"/>
      <c r="P617" s="63"/>
    </row>
    <row r="618" spans="3:16" hidden="1" x14ac:dyDescent="0.15">
      <c r="C618" s="63">
        <v>1</v>
      </c>
      <c r="D618" s="73" t="s">
        <v>245</v>
      </c>
      <c r="E618" s="73">
        <v>500</v>
      </c>
      <c r="F618" s="73">
        <f>+F617</f>
        <v>0</v>
      </c>
      <c r="G618" s="73">
        <f t="shared" ref="G618:G623" si="62">SUM(E618:F618)</f>
        <v>500</v>
      </c>
      <c r="H618" s="10"/>
      <c r="I618" s="63"/>
      <c r="J618" s="63" t="s">
        <v>215</v>
      </c>
      <c r="K618" s="63"/>
      <c r="L618" s="63"/>
      <c r="M618" s="63"/>
      <c r="N618" s="63"/>
      <c r="O618" s="63"/>
      <c r="P618" s="63"/>
    </row>
    <row r="619" spans="3:16" hidden="1" x14ac:dyDescent="0.15">
      <c r="C619" s="63">
        <v>2</v>
      </c>
      <c r="D619" s="73" t="s">
        <v>247</v>
      </c>
      <c r="E619" s="73">
        <v>600</v>
      </c>
      <c r="F619" s="73">
        <f>+F617</f>
        <v>0</v>
      </c>
      <c r="G619" s="73">
        <f t="shared" si="62"/>
        <v>600</v>
      </c>
      <c r="H619" s="10"/>
      <c r="I619" s="63"/>
      <c r="J619" s="63" t="s">
        <v>213</v>
      </c>
      <c r="K619" s="63"/>
      <c r="L619" s="63"/>
      <c r="M619" s="63"/>
      <c r="N619" s="63"/>
      <c r="O619" s="63"/>
      <c r="P619" s="63"/>
    </row>
    <row r="620" spans="3:16" hidden="1" x14ac:dyDescent="0.15">
      <c r="C620" s="63">
        <v>3</v>
      </c>
      <c r="D620" s="73" t="s">
        <v>246</v>
      </c>
      <c r="E620" s="73">
        <v>500</v>
      </c>
      <c r="F620" s="73">
        <f>+F617</f>
        <v>0</v>
      </c>
      <c r="G620" s="73">
        <f t="shared" si="62"/>
        <v>500</v>
      </c>
      <c r="H620" s="10"/>
      <c r="I620" s="63"/>
      <c r="J620" s="63" t="s">
        <v>214</v>
      </c>
      <c r="K620" s="63"/>
      <c r="L620" s="63"/>
      <c r="M620" s="63"/>
      <c r="N620" s="63"/>
      <c r="O620" s="63"/>
      <c r="P620" s="63"/>
    </row>
    <row r="621" spans="3:16" hidden="1" x14ac:dyDescent="0.15">
      <c r="C621" s="63">
        <v>4</v>
      </c>
      <c r="D621" s="73" t="s">
        <v>248</v>
      </c>
      <c r="E621" s="73">
        <v>700</v>
      </c>
      <c r="F621" s="73">
        <f>+F617</f>
        <v>0</v>
      </c>
      <c r="G621" s="73">
        <f t="shared" si="62"/>
        <v>700</v>
      </c>
      <c r="H621" s="10"/>
      <c r="I621" s="63"/>
      <c r="J621" s="63"/>
      <c r="K621" s="63"/>
      <c r="L621" s="63"/>
      <c r="M621" s="63"/>
      <c r="N621" s="63"/>
      <c r="O621" s="63"/>
      <c r="P621" s="63"/>
    </row>
    <row r="622" spans="3:16" hidden="1" x14ac:dyDescent="0.15">
      <c r="C622" s="63">
        <v>5</v>
      </c>
      <c r="D622" s="73" t="s">
        <v>248</v>
      </c>
      <c r="E622" s="73">
        <v>700</v>
      </c>
      <c r="F622" s="73">
        <f>+F617</f>
        <v>0</v>
      </c>
      <c r="G622" s="73">
        <f t="shared" si="62"/>
        <v>700</v>
      </c>
      <c r="H622" s="10"/>
      <c r="I622" s="63"/>
      <c r="J622" s="63"/>
      <c r="K622" s="63"/>
      <c r="L622" s="63"/>
      <c r="M622" s="63"/>
      <c r="N622" s="63"/>
      <c r="O622" s="63"/>
      <c r="P622" s="63"/>
    </row>
    <row r="623" spans="3:16" hidden="1" x14ac:dyDescent="0.15">
      <c r="C623" s="63">
        <v>6</v>
      </c>
      <c r="D623" s="73" t="s">
        <v>248</v>
      </c>
      <c r="E623" s="73">
        <v>700</v>
      </c>
      <c r="F623" s="73">
        <f>+F617</f>
        <v>0</v>
      </c>
      <c r="G623" s="73">
        <f t="shared" si="62"/>
        <v>700</v>
      </c>
      <c r="H623" s="10"/>
      <c r="I623" s="63"/>
      <c r="J623" s="63"/>
      <c r="K623" s="63"/>
      <c r="L623" s="63"/>
      <c r="M623" s="63"/>
      <c r="N623" s="63"/>
      <c r="O623" s="63"/>
      <c r="P623" s="63"/>
    </row>
    <row r="624" spans="3:16" hidden="1" x14ac:dyDescent="0.15">
      <c r="C624" s="63"/>
      <c r="D624" s="63"/>
      <c r="E624" s="63"/>
      <c r="F624" s="63"/>
      <c r="G624" s="63"/>
      <c r="H624" s="10"/>
      <c r="I624" s="63"/>
      <c r="J624" s="63"/>
      <c r="K624" s="63"/>
      <c r="L624" s="63"/>
      <c r="M624" s="63"/>
      <c r="N624" s="63"/>
      <c r="O624" s="63"/>
      <c r="P624" s="63"/>
    </row>
    <row r="625" spans="3:16" hidden="1" x14ac:dyDescent="0.15">
      <c r="C625" s="63"/>
      <c r="D625" s="63"/>
      <c r="E625" s="63"/>
      <c r="F625" s="63"/>
      <c r="G625" s="63"/>
      <c r="H625" s="10"/>
      <c r="I625" s="63"/>
      <c r="J625" s="63"/>
      <c r="K625" s="63"/>
      <c r="L625" s="63"/>
      <c r="M625" s="63"/>
      <c r="N625" s="63"/>
      <c r="O625" s="63"/>
      <c r="P625" s="63"/>
    </row>
    <row r="626" spans="3:16" hidden="1" x14ac:dyDescent="0.15">
      <c r="C626" s="63"/>
      <c r="D626" s="63">
        <v>1</v>
      </c>
      <c r="E626" s="63">
        <v>2</v>
      </c>
      <c r="F626" s="63">
        <v>3</v>
      </c>
      <c r="G626" s="63"/>
      <c r="H626" s="10"/>
      <c r="I626" s="63"/>
      <c r="J626" s="63"/>
      <c r="K626" s="63"/>
      <c r="L626" s="63"/>
      <c r="M626" s="63"/>
      <c r="N626" s="63"/>
      <c r="O626" s="63"/>
      <c r="P626" s="63"/>
    </row>
    <row r="627" spans="3:16" hidden="1" x14ac:dyDescent="0.15">
      <c r="C627" s="80">
        <v>1</v>
      </c>
      <c r="D627" s="81"/>
      <c r="E627" s="81">
        <v>300</v>
      </c>
      <c r="F627" s="81"/>
      <c r="G627" s="63"/>
      <c r="H627" s="10"/>
      <c r="I627" s="63"/>
      <c r="J627" s="63"/>
      <c r="K627" s="63"/>
      <c r="L627" s="63"/>
      <c r="M627" s="63"/>
      <c r="N627" s="63"/>
      <c r="O627" s="63"/>
      <c r="P627" s="63"/>
    </row>
    <row r="628" spans="3:16" hidden="1" x14ac:dyDescent="0.15">
      <c r="C628" s="80">
        <v>2</v>
      </c>
      <c r="D628" s="81">
        <v>200</v>
      </c>
      <c r="E628" s="81">
        <v>200</v>
      </c>
      <c r="F628" s="81">
        <v>150</v>
      </c>
      <c r="G628" s="63"/>
      <c r="H628" s="10"/>
      <c r="I628" s="63"/>
      <c r="J628" s="63"/>
      <c r="K628" s="63"/>
      <c r="L628" s="63"/>
      <c r="M628" s="63"/>
      <c r="N628" s="63"/>
      <c r="O628" s="63"/>
      <c r="P628" s="63"/>
    </row>
    <row r="629" spans="3:16" hidden="1" x14ac:dyDescent="0.15">
      <c r="C629" s="80">
        <v>3</v>
      </c>
      <c r="D629" s="81">
        <v>200</v>
      </c>
      <c r="E629" s="81">
        <v>200</v>
      </c>
      <c r="F629" s="81">
        <v>150</v>
      </c>
      <c r="G629" s="63"/>
      <c r="H629" s="10"/>
      <c r="I629" s="63"/>
      <c r="J629" s="63"/>
      <c r="K629" s="63"/>
      <c r="L629" s="63"/>
      <c r="M629" s="63"/>
      <c r="N629" s="63"/>
      <c r="O629" s="63"/>
      <c r="P629" s="63"/>
    </row>
    <row r="630" spans="3:16" hidden="1" x14ac:dyDescent="0.15">
      <c r="C630" s="80">
        <v>4</v>
      </c>
      <c r="D630" s="81">
        <v>200</v>
      </c>
      <c r="E630" s="81">
        <v>200</v>
      </c>
      <c r="F630" s="81">
        <v>150</v>
      </c>
      <c r="G630" s="63"/>
      <c r="H630" s="10"/>
      <c r="I630" s="80" t="s">
        <v>110</v>
      </c>
      <c r="J630" s="80"/>
      <c r="K630" s="135" t="s">
        <v>159</v>
      </c>
      <c r="L630" s="63"/>
      <c r="M630" s="63"/>
      <c r="N630" s="63"/>
      <c r="O630" s="63"/>
      <c r="P630" s="63"/>
    </row>
    <row r="631" spans="3:16" hidden="1" x14ac:dyDescent="0.15">
      <c r="C631" s="80">
        <v>5</v>
      </c>
      <c r="D631" s="81"/>
      <c r="E631" s="81">
        <v>300</v>
      </c>
      <c r="F631" s="81"/>
      <c r="G631" s="63"/>
      <c r="H631" s="10"/>
      <c r="I631" s="80" t="s">
        <v>112</v>
      </c>
      <c r="J631" s="80"/>
      <c r="K631" s="135" t="s">
        <v>160</v>
      </c>
      <c r="L631" s="63"/>
      <c r="M631" s="63"/>
      <c r="N631" s="63"/>
      <c r="O631" s="63"/>
      <c r="P631" s="63"/>
    </row>
    <row r="632" spans="3:16" hidden="1" x14ac:dyDescent="0.15">
      <c r="C632" s="80">
        <v>6</v>
      </c>
      <c r="D632" s="81">
        <v>400</v>
      </c>
      <c r="E632" s="81">
        <v>400</v>
      </c>
      <c r="F632" s="81">
        <v>200</v>
      </c>
      <c r="G632" s="63"/>
      <c r="H632" s="10"/>
      <c r="I632" s="80" t="s">
        <v>114</v>
      </c>
      <c r="J632" s="80"/>
      <c r="K632" s="63"/>
      <c r="L632" s="63"/>
      <c r="M632" s="63"/>
      <c r="N632" s="63"/>
      <c r="O632" s="63"/>
      <c r="P632" s="63"/>
    </row>
    <row r="633" spans="3:16" hidden="1" x14ac:dyDescent="0.15">
      <c r="C633" s="80">
        <v>7</v>
      </c>
      <c r="D633" s="81">
        <v>200</v>
      </c>
      <c r="E633" s="81">
        <v>200</v>
      </c>
      <c r="F633" s="81">
        <v>150</v>
      </c>
      <c r="G633" s="63"/>
      <c r="H633" s="10"/>
      <c r="I633" s="80" t="s">
        <v>116</v>
      </c>
      <c r="J633" s="80"/>
      <c r="K633" s="63"/>
      <c r="L633" s="63"/>
      <c r="M633" s="63"/>
      <c r="N633" s="63"/>
      <c r="O633" s="63"/>
      <c r="P633" s="63"/>
    </row>
    <row r="634" spans="3:16" hidden="1" x14ac:dyDescent="0.15">
      <c r="C634" s="80">
        <v>8</v>
      </c>
      <c r="D634" s="81">
        <v>300</v>
      </c>
      <c r="E634" s="81">
        <v>300</v>
      </c>
      <c r="F634" s="81">
        <v>225</v>
      </c>
      <c r="G634" s="63"/>
      <c r="H634" s="10"/>
      <c r="I634" s="80" t="s">
        <v>117</v>
      </c>
      <c r="J634" s="80"/>
      <c r="K634" s="63"/>
      <c r="L634" s="63"/>
      <c r="M634" s="63"/>
      <c r="N634" s="63"/>
      <c r="O634" s="63"/>
      <c r="P634" s="63"/>
    </row>
    <row r="635" spans="3:16" hidden="1" x14ac:dyDescent="0.15">
      <c r="C635" s="80">
        <v>9</v>
      </c>
      <c r="D635" s="81">
        <v>300</v>
      </c>
      <c r="E635" s="81">
        <v>300</v>
      </c>
      <c r="F635" s="81">
        <v>225</v>
      </c>
      <c r="G635" s="63"/>
      <c r="H635" s="10"/>
      <c r="I635" s="80" t="s">
        <v>118</v>
      </c>
      <c r="J635" s="80"/>
      <c r="K635" s="63"/>
      <c r="L635" s="63"/>
      <c r="M635" s="63"/>
      <c r="N635" s="63"/>
      <c r="O635" s="63"/>
      <c r="P635" s="63"/>
    </row>
    <row r="636" spans="3:16" hidden="1" x14ac:dyDescent="0.15">
      <c r="C636" s="63"/>
      <c r="D636" s="63"/>
      <c r="E636" s="63"/>
      <c r="F636" s="63"/>
      <c r="G636" s="63"/>
      <c r="H636" s="10"/>
      <c r="I636" s="80" t="s">
        <v>119</v>
      </c>
      <c r="J636" s="80"/>
      <c r="K636" s="63"/>
      <c r="L636" s="63"/>
      <c r="M636" s="63"/>
      <c r="N636" s="63"/>
      <c r="O636" s="63"/>
      <c r="P636" s="63"/>
    </row>
    <row r="637" spans="3:16" hidden="1" x14ac:dyDescent="0.15">
      <c r="C637" s="63"/>
      <c r="D637" s="63"/>
      <c r="E637" s="63"/>
      <c r="F637" s="63"/>
      <c r="G637" s="63"/>
      <c r="H637" s="10"/>
      <c r="I637" s="80" t="s">
        <v>120</v>
      </c>
      <c r="J637" s="80"/>
      <c r="K637" s="63"/>
      <c r="L637" s="63"/>
      <c r="M637" s="63"/>
      <c r="N637" s="63"/>
      <c r="O637" s="63"/>
      <c r="P637" s="63"/>
    </row>
    <row r="638" spans="3:16" hidden="1" x14ac:dyDescent="0.15">
      <c r="C638" s="63"/>
      <c r="D638" s="13">
        <v>1</v>
      </c>
      <c r="E638" s="63"/>
      <c r="F638" s="63"/>
      <c r="G638" s="63"/>
      <c r="H638" s="10"/>
      <c r="I638" s="80" t="s">
        <v>121</v>
      </c>
      <c r="J638" s="80"/>
      <c r="K638" s="63"/>
      <c r="L638" s="63"/>
      <c r="M638" s="63"/>
      <c r="N638" s="63"/>
      <c r="O638" s="63"/>
      <c r="P638" s="63"/>
    </row>
    <row r="639" spans="3:16" hidden="1" x14ac:dyDescent="0.15">
      <c r="C639" s="63"/>
      <c r="D639" s="63">
        <v>2</v>
      </c>
      <c r="E639" s="63"/>
      <c r="F639" s="63"/>
      <c r="G639" s="63"/>
      <c r="H639" s="10"/>
      <c r="I639" s="80" t="s">
        <v>122</v>
      </c>
      <c r="J639" s="80"/>
      <c r="K639" s="63"/>
      <c r="L639" s="63"/>
      <c r="M639" s="63"/>
      <c r="N639" s="63"/>
      <c r="O639" s="63"/>
      <c r="P639" s="63"/>
    </row>
    <row r="640" spans="3:16" hidden="1" x14ac:dyDescent="0.15">
      <c r="C640" s="63"/>
      <c r="D640" s="63" t="s">
        <v>215</v>
      </c>
      <c r="E640" s="63"/>
      <c r="F640" s="63"/>
      <c r="G640" s="63"/>
      <c r="H640" s="10"/>
      <c r="I640" s="80" t="s">
        <v>123</v>
      </c>
      <c r="J640" s="80"/>
      <c r="K640" s="63"/>
      <c r="L640" s="63"/>
      <c r="M640" s="63"/>
      <c r="N640" s="63"/>
      <c r="O640" s="63"/>
      <c r="P640" s="63"/>
    </row>
    <row r="641" spans="3:16" hidden="1" x14ac:dyDescent="0.15">
      <c r="C641" s="63"/>
      <c r="D641" s="63" t="s">
        <v>213</v>
      </c>
      <c r="E641" s="63"/>
      <c r="F641" s="63"/>
      <c r="G641" s="63"/>
      <c r="H641" s="10"/>
      <c r="I641" s="80" t="s">
        <v>124</v>
      </c>
      <c r="J641" s="80"/>
      <c r="K641" s="63"/>
      <c r="L641" s="63"/>
      <c r="M641" s="63"/>
      <c r="N641" s="63"/>
      <c r="O641" s="63"/>
      <c r="P641" s="63"/>
    </row>
    <row r="642" spans="3:16" hidden="1" x14ac:dyDescent="0.15">
      <c r="C642" s="63"/>
      <c r="D642" s="63" t="s">
        <v>214</v>
      </c>
      <c r="E642" s="63"/>
      <c r="F642" s="63"/>
      <c r="G642" s="63"/>
      <c r="H642" s="10"/>
      <c r="I642" s="80" t="s">
        <v>125</v>
      </c>
      <c r="J642" s="80"/>
      <c r="K642" s="63"/>
      <c r="L642" s="63"/>
      <c r="M642" s="63"/>
      <c r="N642" s="63"/>
      <c r="O642" s="63"/>
      <c r="P642" s="63"/>
    </row>
    <row r="643" spans="3:16" hidden="1" x14ac:dyDescent="0.15">
      <c r="C643" s="63"/>
      <c r="D643" s="63"/>
      <c r="E643" s="63"/>
      <c r="F643" s="63"/>
      <c r="G643" s="63"/>
      <c r="H643" s="10"/>
      <c r="I643" s="80" t="s">
        <v>126</v>
      </c>
      <c r="J643" s="80"/>
      <c r="K643" s="63"/>
      <c r="L643" s="63"/>
      <c r="M643" s="63"/>
      <c r="N643" s="63"/>
      <c r="O643" s="63"/>
      <c r="P643" s="63"/>
    </row>
    <row r="644" spans="3:16" hidden="1" x14ac:dyDescent="0.15">
      <c r="C644" s="63"/>
      <c r="E644" s="63"/>
      <c r="F644" s="63"/>
      <c r="G644" s="63"/>
      <c r="H644" s="10"/>
      <c r="I644" s="80" t="s">
        <v>127</v>
      </c>
      <c r="J644" s="80"/>
      <c r="K644" s="63"/>
      <c r="L644" s="63"/>
      <c r="M644" s="63"/>
      <c r="N644" s="63"/>
      <c r="O644" s="63"/>
      <c r="P644" s="63"/>
    </row>
    <row r="645" spans="3:16" hidden="1" x14ac:dyDescent="0.15">
      <c r="C645" s="63"/>
      <c r="D645" s="3" t="s">
        <v>956</v>
      </c>
      <c r="E645" s="63"/>
      <c r="F645" s="63"/>
      <c r="G645" s="63"/>
      <c r="H645" s="10"/>
      <c r="I645" s="80" t="s">
        <v>128</v>
      </c>
      <c r="J645" s="80"/>
      <c r="K645" s="63"/>
      <c r="L645" s="63"/>
      <c r="M645" s="63"/>
      <c r="N645" s="63"/>
      <c r="O645" s="63"/>
      <c r="P645" s="63"/>
    </row>
    <row r="646" spans="3:16" hidden="1" x14ac:dyDescent="0.15">
      <c r="C646" s="63"/>
      <c r="D646" s="3" t="s">
        <v>957</v>
      </c>
      <c r="E646" s="63"/>
      <c r="F646" s="63"/>
      <c r="G646" s="63"/>
      <c r="H646" s="10"/>
      <c r="I646" s="80" t="s">
        <v>129</v>
      </c>
      <c r="J646" s="80"/>
      <c r="K646" s="63"/>
      <c r="L646" s="63"/>
      <c r="M646" s="63"/>
      <c r="N646" s="63"/>
      <c r="O646" s="63"/>
      <c r="P646" s="63"/>
    </row>
    <row r="647" spans="3:16" hidden="1" x14ac:dyDescent="0.15">
      <c r="C647" s="63"/>
      <c r="D647" s="63"/>
      <c r="E647" s="63"/>
      <c r="F647" s="63"/>
      <c r="G647" s="63"/>
      <c r="H647" s="10"/>
      <c r="I647" s="80" t="s">
        <v>130</v>
      </c>
      <c r="J647" s="80"/>
      <c r="K647" s="63"/>
      <c r="L647" s="63"/>
      <c r="M647" s="63"/>
      <c r="N647" s="63"/>
      <c r="O647" s="63"/>
      <c r="P647" s="63"/>
    </row>
    <row r="648" spans="3:16" hidden="1" x14ac:dyDescent="0.15">
      <c r="C648" s="63"/>
      <c r="D648" s="63"/>
      <c r="E648" s="63"/>
      <c r="F648" s="63"/>
      <c r="G648" s="63"/>
      <c r="H648" s="10"/>
      <c r="I648" s="80" t="s">
        <v>132</v>
      </c>
      <c r="J648" s="80"/>
      <c r="K648" s="63"/>
      <c r="L648" s="63"/>
      <c r="M648" s="63"/>
      <c r="N648" s="63"/>
      <c r="O648" s="63"/>
      <c r="P648" s="63"/>
    </row>
    <row r="649" spans="3:16" hidden="1" x14ac:dyDescent="0.15">
      <c r="C649" s="63"/>
      <c r="D649" s="63"/>
      <c r="E649" s="63"/>
      <c r="F649" s="63"/>
      <c r="G649" s="63"/>
      <c r="H649" s="10"/>
      <c r="I649" s="80" t="s">
        <v>133</v>
      </c>
      <c r="J649" s="80"/>
      <c r="K649" s="63"/>
      <c r="L649" s="63"/>
      <c r="M649" s="63"/>
      <c r="N649" s="63"/>
      <c r="O649" s="63"/>
      <c r="P649" s="63"/>
    </row>
    <row r="650" spans="3:16" hidden="1" x14ac:dyDescent="0.15">
      <c r="C650" s="63"/>
      <c r="D650" s="63"/>
      <c r="E650" s="63"/>
      <c r="F650" s="63"/>
      <c r="G650" s="63"/>
      <c r="H650" s="10"/>
      <c r="I650" s="80" t="s">
        <v>134</v>
      </c>
      <c r="J650" s="80"/>
      <c r="K650" s="63"/>
      <c r="L650" s="63"/>
      <c r="M650" s="63"/>
      <c r="N650" s="63"/>
      <c r="O650" s="63"/>
      <c r="P650" s="63"/>
    </row>
    <row r="651" spans="3:16" hidden="1" x14ac:dyDescent="0.15">
      <c r="C651" s="63"/>
      <c r="D651" s="63"/>
      <c r="E651" s="63"/>
      <c r="F651" s="63"/>
      <c r="G651" s="63"/>
      <c r="H651" s="10"/>
      <c r="I651" s="80" t="s">
        <v>135</v>
      </c>
      <c r="J651" s="80"/>
      <c r="K651" s="63"/>
      <c r="L651" s="63"/>
      <c r="M651" s="63"/>
      <c r="N651" s="63"/>
      <c r="O651" s="63"/>
      <c r="P651" s="63"/>
    </row>
    <row r="652" spans="3:16" hidden="1" x14ac:dyDescent="0.15">
      <c r="C652" s="63"/>
      <c r="D652" s="63"/>
      <c r="E652" s="63"/>
      <c r="F652" s="63"/>
      <c r="G652" s="63"/>
      <c r="H652" s="10"/>
      <c r="I652" s="80" t="s">
        <v>136</v>
      </c>
      <c r="J652" s="80"/>
      <c r="K652" s="63"/>
      <c r="L652" s="63"/>
      <c r="M652" s="63"/>
      <c r="N652" s="63"/>
      <c r="O652" s="63"/>
      <c r="P652" s="63"/>
    </row>
    <row r="653" spans="3:16" hidden="1" x14ac:dyDescent="0.15">
      <c r="C653" s="63"/>
      <c r="D653" s="63"/>
      <c r="E653" s="63"/>
      <c r="F653" s="63"/>
      <c r="G653" s="63"/>
      <c r="H653" s="10"/>
      <c r="I653" s="80" t="s">
        <v>137</v>
      </c>
      <c r="J653" s="80"/>
      <c r="K653" s="63"/>
      <c r="L653" s="63"/>
      <c r="M653" s="63"/>
      <c r="N653" s="63"/>
      <c r="O653" s="63"/>
      <c r="P653" s="63"/>
    </row>
    <row r="654" spans="3:16" hidden="1" x14ac:dyDescent="0.15">
      <c r="C654" s="63"/>
      <c r="D654" s="63"/>
      <c r="E654" s="63"/>
      <c r="F654" s="63"/>
      <c r="G654" s="63"/>
      <c r="H654" s="10"/>
      <c r="I654" s="80" t="s">
        <v>138</v>
      </c>
      <c r="J654" s="80"/>
      <c r="K654" s="63"/>
      <c r="L654" s="63"/>
      <c r="M654" s="63"/>
      <c r="N654" s="63"/>
      <c r="O654" s="63"/>
      <c r="P654" s="63"/>
    </row>
    <row r="655" spans="3:16" hidden="1" x14ac:dyDescent="0.15">
      <c r="C655" s="63"/>
      <c r="D655" s="63"/>
      <c r="E655" s="63"/>
      <c r="F655" s="63"/>
      <c r="G655" s="63"/>
      <c r="H655" s="10"/>
      <c r="I655" s="80" t="s">
        <v>139</v>
      </c>
      <c r="J655" s="80"/>
      <c r="K655" s="63"/>
      <c r="L655" s="63"/>
      <c r="M655" s="63"/>
      <c r="N655" s="63"/>
      <c r="O655" s="63"/>
      <c r="P655" s="63"/>
    </row>
    <row r="656" spans="3:16" hidden="1" x14ac:dyDescent="0.15">
      <c r="C656" s="63"/>
      <c r="D656" s="63"/>
      <c r="E656" s="63"/>
      <c r="F656" s="63"/>
      <c r="G656" s="63"/>
      <c r="H656" s="10"/>
      <c r="I656" s="80" t="s">
        <v>140</v>
      </c>
      <c r="J656" s="80"/>
      <c r="K656" s="63"/>
      <c r="L656" s="63"/>
      <c r="M656" s="63"/>
      <c r="N656" s="63"/>
      <c r="O656" s="63"/>
      <c r="P656" s="63"/>
    </row>
    <row r="657" spans="3:16" hidden="1" x14ac:dyDescent="0.15">
      <c r="C657" s="63"/>
      <c r="D657" s="63"/>
      <c r="E657" s="63"/>
      <c r="F657" s="63"/>
      <c r="G657" s="63"/>
      <c r="H657" s="10"/>
      <c r="I657" s="80" t="s">
        <v>141</v>
      </c>
      <c r="J657" s="80"/>
      <c r="K657" s="63"/>
      <c r="L657" s="63"/>
      <c r="M657" s="63"/>
      <c r="N657" s="63"/>
      <c r="O657" s="63"/>
      <c r="P657" s="63"/>
    </row>
    <row r="658" spans="3:16" hidden="1" x14ac:dyDescent="0.15">
      <c r="C658" s="63"/>
      <c r="D658" s="63"/>
      <c r="E658" s="63"/>
      <c r="F658" s="63"/>
      <c r="G658" s="63"/>
      <c r="H658" s="10"/>
      <c r="I658" s="80" t="s">
        <v>142</v>
      </c>
      <c r="J658" s="80"/>
      <c r="K658" s="63"/>
      <c r="L658" s="63"/>
      <c r="M658" s="63"/>
      <c r="N658" s="63"/>
      <c r="O658" s="63"/>
      <c r="P658" s="63"/>
    </row>
    <row r="659" spans="3:16" hidden="1" x14ac:dyDescent="0.15">
      <c r="C659" s="63"/>
      <c r="D659" s="63"/>
      <c r="E659" s="63"/>
      <c r="F659" s="63"/>
      <c r="G659" s="63"/>
      <c r="H659" s="10"/>
      <c r="I659" s="80" t="s">
        <v>143</v>
      </c>
      <c r="J659" s="80"/>
      <c r="K659" s="63"/>
      <c r="L659" s="63"/>
      <c r="M659" s="63"/>
      <c r="N659" s="63"/>
      <c r="O659" s="63"/>
      <c r="P659" s="63"/>
    </row>
    <row r="660" spans="3:16" hidden="1" x14ac:dyDescent="0.15">
      <c r="C660" s="63"/>
      <c r="D660" s="63"/>
      <c r="E660" s="63"/>
      <c r="F660" s="63"/>
      <c r="G660" s="63"/>
      <c r="H660" s="10"/>
      <c r="I660" s="80" t="s">
        <v>144</v>
      </c>
      <c r="J660" s="80"/>
      <c r="K660" s="63"/>
      <c r="L660" s="63"/>
      <c r="M660" s="63"/>
      <c r="N660" s="63"/>
      <c r="O660" s="63"/>
      <c r="P660" s="63"/>
    </row>
    <row r="661" spans="3:16" hidden="1" x14ac:dyDescent="0.15">
      <c r="C661" s="63"/>
      <c r="D661" s="63"/>
      <c r="E661" s="63"/>
      <c r="F661" s="63"/>
      <c r="G661" s="63"/>
      <c r="H661" s="10"/>
      <c r="I661" s="80" t="s">
        <v>145</v>
      </c>
      <c r="J661" s="80"/>
      <c r="K661" s="63"/>
      <c r="L661" s="63"/>
      <c r="M661" s="63"/>
      <c r="N661" s="63"/>
      <c r="O661" s="63"/>
      <c r="P661" s="63"/>
    </row>
    <row r="662" spans="3:16" hidden="1" x14ac:dyDescent="0.15">
      <c r="C662" s="63"/>
      <c r="D662" s="63"/>
      <c r="E662" s="63"/>
      <c r="F662" s="63"/>
      <c r="G662" s="63"/>
      <c r="H662" s="63"/>
      <c r="I662" s="80" t="s">
        <v>146</v>
      </c>
      <c r="J662" s="80"/>
      <c r="K662" s="63"/>
      <c r="L662" s="63"/>
      <c r="M662" s="63"/>
      <c r="N662" s="63"/>
      <c r="O662" s="63"/>
      <c r="P662" s="63"/>
    </row>
    <row r="663" spans="3:16" hidden="1" x14ac:dyDescent="0.15">
      <c r="C663" s="63"/>
      <c r="D663" s="63"/>
      <c r="E663" s="63"/>
      <c r="F663" s="63"/>
      <c r="G663" s="63"/>
      <c r="H663" s="63"/>
      <c r="I663" s="80" t="s">
        <v>147</v>
      </c>
      <c r="J663" s="80"/>
      <c r="K663" s="63"/>
      <c r="L663" s="63"/>
      <c r="M663" s="63"/>
      <c r="N663" s="63"/>
      <c r="O663" s="63"/>
      <c r="P663" s="63"/>
    </row>
    <row r="664" spans="3:16" hidden="1" x14ac:dyDescent="0.15">
      <c r="C664" s="63"/>
      <c r="D664" s="63"/>
      <c r="E664" s="63"/>
      <c r="F664" s="63"/>
      <c r="G664" s="63"/>
      <c r="H664" s="63"/>
      <c r="I664" s="80" t="s">
        <v>148</v>
      </c>
      <c r="J664" s="80"/>
      <c r="K664" s="63"/>
      <c r="L664" s="63"/>
      <c r="M664" s="63"/>
      <c r="N664" s="63"/>
      <c r="O664" s="63"/>
      <c r="P664" s="63"/>
    </row>
    <row r="665" spans="3:16" hidden="1" x14ac:dyDescent="0.15">
      <c r="C665" s="63"/>
      <c r="D665" s="63"/>
      <c r="E665" s="63"/>
      <c r="F665" s="63"/>
      <c r="G665" s="63"/>
      <c r="H665" s="63"/>
      <c r="I665" s="80" t="s">
        <v>149</v>
      </c>
      <c r="J665" s="73"/>
      <c r="K665" s="63"/>
      <c r="L665" s="63"/>
      <c r="M665" s="63"/>
      <c r="N665" s="63"/>
      <c r="O665" s="63"/>
      <c r="P665" s="63"/>
    </row>
    <row r="666" spans="3:16" hidden="1" x14ac:dyDescent="0.15">
      <c r="C666" s="63"/>
      <c r="D666" s="63"/>
      <c r="E666" s="63"/>
      <c r="F666" s="63"/>
      <c r="G666" s="63"/>
      <c r="H666" s="63"/>
      <c r="I666" s="80" t="s">
        <v>150</v>
      </c>
      <c r="J666" s="73"/>
      <c r="K666" s="63"/>
      <c r="L666" s="63"/>
      <c r="M666" s="63"/>
      <c r="N666" s="63"/>
      <c r="O666" s="63"/>
      <c r="P666" s="63"/>
    </row>
    <row r="667" spans="3:16" hidden="1" x14ac:dyDescent="0.15">
      <c r="C667" s="63"/>
      <c r="D667" s="63"/>
      <c r="E667" s="63"/>
      <c r="F667" s="63"/>
      <c r="G667" s="63"/>
      <c r="H667" s="63"/>
      <c r="I667" s="80" t="s">
        <v>151</v>
      </c>
      <c r="J667" s="73"/>
      <c r="K667" s="63"/>
      <c r="L667" s="63"/>
      <c r="M667" s="63"/>
      <c r="N667" s="63"/>
      <c r="O667" s="63"/>
      <c r="P667" s="63"/>
    </row>
    <row r="668" spans="3:16" hidden="1" x14ac:dyDescent="0.15">
      <c r="C668" s="63"/>
      <c r="D668" s="63"/>
      <c r="E668" s="63"/>
      <c r="F668" s="63"/>
      <c r="G668" s="63"/>
      <c r="H668" s="63"/>
      <c r="I668" s="80" t="s">
        <v>152</v>
      </c>
      <c r="J668" s="73"/>
      <c r="K668" s="63"/>
      <c r="L668" s="63"/>
      <c r="M668" s="63"/>
      <c r="N668" s="63"/>
      <c r="O668" s="63"/>
      <c r="P668" s="63"/>
    </row>
    <row r="669" spans="3:16" hidden="1" x14ac:dyDescent="0.15">
      <c r="C669" s="63"/>
      <c r="D669" s="63"/>
      <c r="E669" s="63"/>
      <c r="F669" s="63"/>
      <c r="G669" s="63"/>
      <c r="H669" s="63"/>
      <c r="I669" s="80" t="s">
        <v>153</v>
      </c>
      <c r="J669" s="73"/>
      <c r="K669" s="63"/>
      <c r="L669" s="63"/>
      <c r="M669" s="63"/>
      <c r="N669" s="63"/>
      <c r="O669" s="63"/>
      <c r="P669" s="63"/>
    </row>
    <row r="670" spans="3:16" hidden="1" x14ac:dyDescent="0.15">
      <c r="C670" s="63"/>
      <c r="D670" s="63"/>
      <c r="E670" s="63"/>
      <c r="F670" s="63"/>
      <c r="G670" s="63"/>
      <c r="H670" s="63"/>
      <c r="I670" s="80" t="s">
        <v>154</v>
      </c>
      <c r="J670" s="73"/>
      <c r="K670" s="63"/>
      <c r="L670" s="63"/>
      <c r="M670" s="63"/>
      <c r="N670" s="63"/>
      <c r="O670" s="63"/>
      <c r="P670" s="63"/>
    </row>
    <row r="671" spans="3:16" hidden="1" x14ac:dyDescent="0.15">
      <c r="C671" s="63"/>
      <c r="D671" s="63"/>
      <c r="E671" s="63"/>
      <c r="F671" s="63"/>
      <c r="G671" s="63"/>
      <c r="H671" s="63"/>
      <c r="I671" s="80" t="s">
        <v>155</v>
      </c>
      <c r="J671" s="73"/>
      <c r="K671" s="63"/>
      <c r="L671" s="63"/>
      <c r="M671" s="63"/>
      <c r="N671" s="63"/>
      <c r="O671" s="63"/>
      <c r="P671" s="63"/>
    </row>
    <row r="672" spans="3:16" hidden="1" x14ac:dyDescent="0.15">
      <c r="C672" s="63"/>
      <c r="D672" s="63"/>
      <c r="E672" s="63"/>
      <c r="F672" s="63"/>
      <c r="G672" s="63"/>
      <c r="H672" s="63"/>
      <c r="I672" s="80" t="s">
        <v>64</v>
      </c>
      <c r="J672" s="73"/>
      <c r="K672" s="63"/>
      <c r="L672" s="63"/>
      <c r="M672" s="63"/>
      <c r="N672" s="63"/>
      <c r="O672" s="63"/>
      <c r="P672" s="63"/>
    </row>
    <row r="673" spans="3:16" hidden="1" x14ac:dyDescent="0.15">
      <c r="C673" s="63"/>
      <c r="D673" s="63"/>
      <c r="E673" s="63"/>
      <c r="F673" s="63"/>
      <c r="G673" s="63"/>
      <c r="H673" s="63"/>
      <c r="I673" s="80" t="s">
        <v>156</v>
      </c>
      <c r="J673" s="73"/>
      <c r="K673" s="63"/>
      <c r="L673" s="63"/>
      <c r="M673" s="63"/>
      <c r="N673" s="63"/>
      <c r="O673" s="63"/>
      <c r="P673" s="63"/>
    </row>
    <row r="674" spans="3:16" hidden="1" x14ac:dyDescent="0.15">
      <c r="C674" s="63"/>
      <c r="D674" s="63"/>
      <c r="E674" s="63"/>
      <c r="F674" s="63"/>
      <c r="G674" s="63"/>
      <c r="H674" s="63"/>
      <c r="I674" s="80" t="s">
        <v>157</v>
      </c>
      <c r="J674" s="73"/>
      <c r="K674" s="63"/>
      <c r="L674" s="63"/>
      <c r="M674" s="63"/>
      <c r="N674" s="63"/>
      <c r="O674" s="63"/>
      <c r="P674" s="63"/>
    </row>
    <row r="675" spans="3:16" hidden="1" x14ac:dyDescent="0.15"/>
  </sheetData>
  <sheetProtection password="CC11" sheet="1" objects="1" scenarios="1" formatColumns="0" formatRows="0"/>
  <mergeCells count="434">
    <mergeCell ref="Q13:Q14"/>
    <mergeCell ref="R55:R56"/>
    <mergeCell ref="DM57:DM58"/>
    <mergeCell ref="DM65:DM66"/>
    <mergeCell ref="AJ65:AJ66"/>
    <mergeCell ref="AJ73:AJ74"/>
    <mergeCell ref="AJ81:AJ82"/>
    <mergeCell ref="AJ89:AJ90"/>
    <mergeCell ref="AI65:AI66"/>
    <mergeCell ref="AI73:AI74"/>
    <mergeCell ref="AI81:AI82"/>
    <mergeCell ref="AE13:AF13"/>
    <mergeCell ref="AC57:AC58"/>
    <mergeCell ref="AC65:AC66"/>
    <mergeCell ref="AC73:AC74"/>
    <mergeCell ref="Q65:Q66"/>
    <mergeCell ref="Q15:Q16"/>
    <mergeCell ref="Q21:Q22"/>
    <mergeCell ref="P18:Q18"/>
    <mergeCell ref="P19:Q19"/>
    <mergeCell ref="AI89:AI90"/>
    <mergeCell ref="AH65:AH66"/>
    <mergeCell ref="AH73:AH74"/>
    <mergeCell ref="AH81:AH82"/>
    <mergeCell ref="K15:K16"/>
    <mergeCell ref="I60:I62"/>
    <mergeCell ref="J60:M60"/>
    <mergeCell ref="C57:C59"/>
    <mergeCell ref="E57:E59"/>
    <mergeCell ref="F57:F59"/>
    <mergeCell ref="DM73:DM74"/>
    <mergeCell ref="DM81:DM82"/>
    <mergeCell ref="DM89:DM90"/>
    <mergeCell ref="CY15:CY16"/>
    <mergeCell ref="CY21:CY22"/>
    <mergeCell ref="CY27:CY28"/>
    <mergeCell ref="CY33:CY34"/>
    <mergeCell ref="CY39:CY40"/>
    <mergeCell ref="I55:K55"/>
    <mergeCell ref="P36:Q36"/>
    <mergeCell ref="P15:P16"/>
    <mergeCell ref="P21:P22"/>
    <mergeCell ref="P27:P28"/>
    <mergeCell ref="P33:P34"/>
    <mergeCell ref="P39:P40"/>
    <mergeCell ref="L33:L34"/>
    <mergeCell ref="P37:Q37"/>
    <mergeCell ref="P42:Q42"/>
    <mergeCell ref="C23:C25"/>
    <mergeCell ref="I29:J29"/>
    <mergeCell ref="D23:E25"/>
    <mergeCell ref="F23:G23"/>
    <mergeCell ref="H23:H25"/>
    <mergeCell ref="E27:E28"/>
    <mergeCell ref="F27:F28"/>
    <mergeCell ref="I35:J35"/>
    <mergeCell ref="D13:D14"/>
    <mergeCell ref="C15:C16"/>
    <mergeCell ref="E15:E16"/>
    <mergeCell ref="F15:F16"/>
    <mergeCell ref="I23:J23"/>
    <mergeCell ref="E13:F13"/>
    <mergeCell ref="G13:J13"/>
    <mergeCell ref="D17:E19"/>
    <mergeCell ref="AH89:AH90"/>
    <mergeCell ref="F17:G17"/>
    <mergeCell ref="H17:H19"/>
    <mergeCell ref="I17:J17"/>
    <mergeCell ref="C20:D20"/>
    <mergeCell ref="F33:F34"/>
    <mergeCell ref="D35:E37"/>
    <mergeCell ref="F35:G35"/>
    <mergeCell ref="C21:C22"/>
    <mergeCell ref="E21:E22"/>
    <mergeCell ref="F21:F22"/>
    <mergeCell ref="K21:K22"/>
    <mergeCell ref="C17:C19"/>
    <mergeCell ref="C32:D32"/>
    <mergeCell ref="I41:J41"/>
    <mergeCell ref="C38:D38"/>
    <mergeCell ref="F49:G49"/>
    <mergeCell ref="C35:C37"/>
    <mergeCell ref="M33:M34"/>
    <mergeCell ref="L32:M32"/>
    <mergeCell ref="C33:C34"/>
    <mergeCell ref="E33:E34"/>
    <mergeCell ref="L38:M38"/>
    <mergeCell ref="C39:C40"/>
    <mergeCell ref="B21:B26"/>
    <mergeCell ref="B27:B32"/>
    <mergeCell ref="B33:B38"/>
    <mergeCell ref="B39:B44"/>
    <mergeCell ref="B57:B63"/>
    <mergeCell ref="C29:C31"/>
    <mergeCell ref="D29:E31"/>
    <mergeCell ref="F29:G29"/>
    <mergeCell ref="H29:H31"/>
    <mergeCell ref="C26:D26"/>
    <mergeCell ref="F41:G41"/>
    <mergeCell ref="H41:H43"/>
    <mergeCell ref="C41:C43"/>
    <mergeCell ref="D41:E43"/>
    <mergeCell ref="C44:D44"/>
    <mergeCell ref="D55:D56"/>
    <mergeCell ref="H35:H37"/>
    <mergeCell ref="C27:C28"/>
    <mergeCell ref="E55:F55"/>
    <mergeCell ref="G55:H55"/>
    <mergeCell ref="C60:C62"/>
    <mergeCell ref="D60:E62"/>
    <mergeCell ref="F60:G60"/>
    <mergeCell ref="H60:H61"/>
    <mergeCell ref="J10:K10"/>
    <mergeCell ref="H12:I12"/>
    <mergeCell ref="L11:M11"/>
    <mergeCell ref="R13:T13"/>
    <mergeCell ref="AC13:AD13"/>
    <mergeCell ref="B13:C13"/>
    <mergeCell ref="L13:N13"/>
    <mergeCell ref="B10:E12"/>
    <mergeCell ref="J12:K12"/>
    <mergeCell ref="H11:I11"/>
    <mergeCell ref="J11:K11"/>
    <mergeCell ref="F11:G12"/>
    <mergeCell ref="H10:I10"/>
    <mergeCell ref="P13:P14"/>
    <mergeCell ref="Z11:AB12"/>
    <mergeCell ref="AC11:AI12"/>
    <mergeCell ref="Q11:T12"/>
    <mergeCell ref="O11:P12"/>
    <mergeCell ref="G14:H14"/>
    <mergeCell ref="I14:J14"/>
    <mergeCell ref="B14:B20"/>
    <mergeCell ref="L20:M20"/>
    <mergeCell ref="AG15:AG16"/>
    <mergeCell ref="T15:T16"/>
    <mergeCell ref="E39:E40"/>
    <mergeCell ref="F39:F40"/>
    <mergeCell ref="K39:K40"/>
    <mergeCell ref="P24:Q24"/>
    <mergeCell ref="P25:Q25"/>
    <mergeCell ref="R29:X29"/>
    <mergeCell ref="P30:Q30"/>
    <mergeCell ref="P31:Q31"/>
    <mergeCell ref="Q27:Q28"/>
    <mergeCell ref="Q33:Q34"/>
    <mergeCell ref="Q39:Q40"/>
    <mergeCell ref="K27:K28"/>
    <mergeCell ref="L27:L28"/>
    <mergeCell ref="M27:M28"/>
    <mergeCell ref="L26:M26"/>
    <mergeCell ref="K33:K34"/>
    <mergeCell ref="S21:S22"/>
    <mergeCell ref="S27:S28"/>
    <mergeCell ref="S33:S34"/>
    <mergeCell ref="S39:S40"/>
    <mergeCell ref="L44:M44"/>
    <mergeCell ref="L39:L40"/>
    <mergeCell ref="M39:M40"/>
    <mergeCell ref="AJ57:AJ58"/>
    <mergeCell ref="X57:X58"/>
    <mergeCell ref="Y57:Y58"/>
    <mergeCell ref="AA57:AA58"/>
    <mergeCell ref="AB57:AB58"/>
    <mergeCell ref="AH57:AH58"/>
    <mergeCell ref="AI57:AI58"/>
    <mergeCell ref="R27:R28"/>
    <mergeCell ref="AI27:AI28"/>
    <mergeCell ref="AI33:AI34"/>
    <mergeCell ref="AI39:AI40"/>
    <mergeCell ref="M21:M22"/>
    <mergeCell ref="P43:Q43"/>
    <mergeCell ref="H52:I52"/>
    <mergeCell ref="J52:K52"/>
    <mergeCell ref="H54:I54"/>
    <mergeCell ref="L53:M53"/>
    <mergeCell ref="L57:L58"/>
    <mergeCell ref="U57:U58"/>
    <mergeCell ref="V57:V58"/>
    <mergeCell ref="Z57:Z58"/>
    <mergeCell ref="AF55:AG55"/>
    <mergeCell ref="M57:M58"/>
    <mergeCell ref="N57:N58"/>
    <mergeCell ref="O57:O58"/>
    <mergeCell ref="P57:P58"/>
    <mergeCell ref="AD55:AE55"/>
    <mergeCell ref="S55:U55"/>
    <mergeCell ref="M55:O55"/>
    <mergeCell ref="L65:L66"/>
    <mergeCell ref="C68:C70"/>
    <mergeCell ref="D68:E70"/>
    <mergeCell ref="F68:G68"/>
    <mergeCell ref="H68:H69"/>
    <mergeCell ref="I68:I70"/>
    <mergeCell ref="J68:M68"/>
    <mergeCell ref="C65:C67"/>
    <mergeCell ref="E65:E67"/>
    <mergeCell ref="F65:F67"/>
    <mergeCell ref="M65:M66"/>
    <mergeCell ref="F84:G84"/>
    <mergeCell ref="H84:H85"/>
    <mergeCell ref="I84:I86"/>
    <mergeCell ref="J84:M84"/>
    <mergeCell ref="M81:M82"/>
    <mergeCell ref="M89:M90"/>
    <mergeCell ref="C71:D71"/>
    <mergeCell ref="C73:C75"/>
    <mergeCell ref="E73:E75"/>
    <mergeCell ref="F73:F75"/>
    <mergeCell ref="L73:L74"/>
    <mergeCell ref="M73:M74"/>
    <mergeCell ref="C87:D87"/>
    <mergeCell ref="C89:C91"/>
    <mergeCell ref="E89:E91"/>
    <mergeCell ref="F89:F91"/>
    <mergeCell ref="C92:C94"/>
    <mergeCell ref="D92:E94"/>
    <mergeCell ref="F92:G92"/>
    <mergeCell ref="H92:H93"/>
    <mergeCell ref="I92:I94"/>
    <mergeCell ref="J92:M92"/>
    <mergeCell ref="B64:B71"/>
    <mergeCell ref="B72:B79"/>
    <mergeCell ref="B80:B87"/>
    <mergeCell ref="B88:B95"/>
    <mergeCell ref="C95:D95"/>
    <mergeCell ref="C76:C78"/>
    <mergeCell ref="D76:E78"/>
    <mergeCell ref="F76:G76"/>
    <mergeCell ref="H76:H77"/>
    <mergeCell ref="I76:I78"/>
    <mergeCell ref="J76:M76"/>
    <mergeCell ref="L89:L90"/>
    <mergeCell ref="C79:D79"/>
    <mergeCell ref="C81:C83"/>
    <mergeCell ref="E81:E83"/>
    <mergeCell ref="F81:F83"/>
    <mergeCell ref="L81:L82"/>
    <mergeCell ref="C84:C86"/>
    <mergeCell ref="N65:N66"/>
    <mergeCell ref="O65:O66"/>
    <mergeCell ref="P65:P66"/>
    <mergeCell ref="N81:N82"/>
    <mergeCell ref="T57:T58"/>
    <mergeCell ref="T59:Z59"/>
    <mergeCell ref="R61:S61"/>
    <mergeCell ref="S57:S58"/>
    <mergeCell ref="Q57:Q58"/>
    <mergeCell ref="R60:S60"/>
    <mergeCell ref="S73:S74"/>
    <mergeCell ref="S81:S82"/>
    <mergeCell ref="T75:Z75"/>
    <mergeCell ref="V81:V82"/>
    <mergeCell ref="U81:U82"/>
    <mergeCell ref="T81:T82"/>
    <mergeCell ref="T73:T74"/>
    <mergeCell ref="U73:U74"/>
    <mergeCell ref="V73:V74"/>
    <mergeCell ref="O73:O74"/>
    <mergeCell ref="P73:P74"/>
    <mergeCell ref="O81:O82"/>
    <mergeCell ref="P81:P82"/>
    <mergeCell ref="C63:D63"/>
    <mergeCell ref="B55:C55"/>
    <mergeCell ref="D84:E86"/>
    <mergeCell ref="AI15:AI16"/>
    <mergeCell ref="Y21:Y22"/>
    <mergeCell ref="Y27:Y28"/>
    <mergeCell ref="Y33:Y34"/>
    <mergeCell ref="Y39:Y40"/>
    <mergeCell ref="AB21:AB22"/>
    <mergeCell ref="AB27:AB28"/>
    <mergeCell ref="AB33:AB34"/>
    <mergeCell ref="AB39:AB40"/>
    <mergeCell ref="AG21:AG22"/>
    <mergeCell ref="AG27:AG28"/>
    <mergeCell ref="AG33:AG34"/>
    <mergeCell ref="AG39:AG40"/>
    <mergeCell ref="AH21:AH22"/>
    <mergeCell ref="AH27:AH28"/>
    <mergeCell ref="AH33:AH34"/>
    <mergeCell ref="AH39:AH40"/>
    <mergeCell ref="AI21:AI22"/>
    <mergeCell ref="N73:N74"/>
    <mergeCell ref="R41:X41"/>
    <mergeCell ref="AA81:AA82"/>
    <mergeCell ref="T91:Z91"/>
    <mergeCell ref="R92:S92"/>
    <mergeCell ref="R93:S93"/>
    <mergeCell ref="R89:R90"/>
    <mergeCell ref="S89:S90"/>
    <mergeCell ref="T83:Z83"/>
    <mergeCell ref="R84:S84"/>
    <mergeCell ref="R85:S85"/>
    <mergeCell ref="AH15:AH16"/>
    <mergeCell ref="T39:T40"/>
    <mergeCell ref="U39:U40"/>
    <mergeCell ref="U33:U34"/>
    <mergeCell ref="T33:T34"/>
    <mergeCell ref="T27:T28"/>
    <mergeCell ref="U27:U28"/>
    <mergeCell ref="U21:U22"/>
    <mergeCell ref="T21:T22"/>
    <mergeCell ref="R35:X35"/>
    <mergeCell ref="R57:R58"/>
    <mergeCell ref="R65:R66"/>
    <mergeCell ref="R73:R74"/>
    <mergeCell ref="R81:R82"/>
    <mergeCell ref="AC81:AC82"/>
    <mergeCell ref="AC89:AC90"/>
    <mergeCell ref="P89:P90"/>
    <mergeCell ref="T67:Z67"/>
    <mergeCell ref="Q89:Q90"/>
    <mergeCell ref="V65:V66"/>
    <mergeCell ref="U65:U66"/>
    <mergeCell ref="T65:T66"/>
    <mergeCell ref="S65:S66"/>
    <mergeCell ref="Q73:Q74"/>
    <mergeCell ref="Q81:Q82"/>
    <mergeCell ref="R68:S68"/>
    <mergeCell ref="R69:S69"/>
    <mergeCell ref="R76:S76"/>
    <mergeCell ref="R77:S77"/>
    <mergeCell ref="T89:T90"/>
    <mergeCell ref="U89:U90"/>
    <mergeCell ref="Z89:Z90"/>
    <mergeCell ref="N89:N90"/>
    <mergeCell ref="O89:O90"/>
    <mergeCell ref="V89:V90"/>
    <mergeCell ref="S15:S16"/>
    <mergeCell ref="Y15:Y16"/>
    <mergeCell ref="AB15:AB16"/>
    <mergeCell ref="Z15:Z16"/>
    <mergeCell ref="AA15:AA16"/>
    <mergeCell ref="W39:W40"/>
    <mergeCell ref="X39:X40"/>
    <mergeCell ref="Z21:Z22"/>
    <mergeCell ref="AA21:AA22"/>
    <mergeCell ref="Z27:Z28"/>
    <mergeCell ref="AA27:AA28"/>
    <mergeCell ref="Z33:Z34"/>
    <mergeCell ref="AA33:AA34"/>
    <mergeCell ref="Z39:Z40"/>
    <mergeCell ref="AA39:AA40"/>
    <mergeCell ref="R15:R16"/>
    <mergeCell ref="R21:R22"/>
    <mergeCell ref="R33:R34"/>
    <mergeCell ref="R39:R40"/>
    <mergeCell ref="R17:X17"/>
    <mergeCell ref="R23:X23"/>
    <mergeCell ref="U15:U16"/>
    <mergeCell ref="U11:U13"/>
    <mergeCell ref="V11:V14"/>
    <mergeCell ref="W11:Y12"/>
    <mergeCell ref="V15:V16"/>
    <mergeCell ref="V21:V22"/>
    <mergeCell ref="V27:V28"/>
    <mergeCell ref="V33:V34"/>
    <mergeCell ref="V39:V40"/>
    <mergeCell ref="W15:W16"/>
    <mergeCell ref="X15:X16"/>
    <mergeCell ref="W21:W22"/>
    <mergeCell ref="X21:X22"/>
    <mergeCell ref="W27:W28"/>
    <mergeCell ref="X27:X28"/>
    <mergeCell ref="W33:W34"/>
    <mergeCell ref="X33:X34"/>
    <mergeCell ref="AJ11:AK14"/>
    <mergeCell ref="B52:E54"/>
    <mergeCell ref="F53:G54"/>
    <mergeCell ref="H53:I53"/>
    <mergeCell ref="J53:K53"/>
    <mergeCell ref="J54:K54"/>
    <mergeCell ref="R53:U54"/>
    <mergeCell ref="P53:Q54"/>
    <mergeCell ref="N53:O54"/>
    <mergeCell ref="V53:V55"/>
    <mergeCell ref="W53:W56"/>
    <mergeCell ref="X53:Z54"/>
    <mergeCell ref="AA53:AC54"/>
    <mergeCell ref="AD53:AJ54"/>
    <mergeCell ref="AH55:AH56"/>
    <mergeCell ref="AI55:AI56"/>
    <mergeCell ref="AJ55:AJ56"/>
    <mergeCell ref="AK53:AL56"/>
    <mergeCell ref="AG13:AG14"/>
    <mergeCell ref="AH13:AH14"/>
    <mergeCell ref="AI13:AI14"/>
    <mergeCell ref="L15:L16"/>
    <mergeCell ref="M15:M16"/>
    <mergeCell ref="L21:L22"/>
    <mergeCell ref="N15:N16"/>
    <mergeCell ref="O15:O16"/>
    <mergeCell ref="N21:N22"/>
    <mergeCell ref="O21:O22"/>
    <mergeCell ref="N27:N28"/>
    <mergeCell ref="O27:O28"/>
    <mergeCell ref="N33:N34"/>
    <mergeCell ref="O33:O34"/>
    <mergeCell ref="N39:N40"/>
    <mergeCell ref="O39:O40"/>
    <mergeCell ref="AJ15:AJ16"/>
    <mergeCell ref="AK15:AK16"/>
    <mergeCell ref="AJ21:AJ22"/>
    <mergeCell ref="AK21:AK22"/>
    <mergeCell ref="AJ27:AJ28"/>
    <mergeCell ref="AK27:AK28"/>
    <mergeCell ref="AJ33:AJ34"/>
    <mergeCell ref="AK33:AK34"/>
    <mergeCell ref="AJ39:AJ40"/>
    <mergeCell ref="AK39:AK40"/>
    <mergeCell ref="AB81:AB82"/>
    <mergeCell ref="AA89:AA90"/>
    <mergeCell ref="AB89:AB90"/>
    <mergeCell ref="W57:W58"/>
    <mergeCell ref="W65:W66"/>
    <mergeCell ref="W73:W74"/>
    <mergeCell ref="W81:W82"/>
    <mergeCell ref="W89:W90"/>
    <mergeCell ref="X65:X66"/>
    <mergeCell ref="Y65:Y66"/>
    <mergeCell ref="X73:X74"/>
    <mergeCell ref="Y73:Y74"/>
    <mergeCell ref="X81:X82"/>
    <mergeCell ref="Y81:Y82"/>
    <mergeCell ref="X89:X90"/>
    <mergeCell ref="Z73:Z74"/>
    <mergeCell ref="Z81:Z82"/>
    <mergeCell ref="Y89:Y90"/>
    <mergeCell ref="AA65:AA66"/>
    <mergeCell ref="Z65:Z66"/>
    <mergeCell ref="AB65:AB66"/>
    <mergeCell ref="AA73:AA74"/>
    <mergeCell ref="AB73:AB74"/>
  </mergeCells>
  <phoneticPr fontId="3"/>
  <dataValidations count="6">
    <dataValidation type="list" allowBlank="1" showInputMessage="1" showErrorMessage="1" sqref="E20 E63 E87 E38 E79 E71 E26 E95 E44 E32" xr:uid="{00000000-0002-0000-0A00-000000000000}">
      <formula1>$J$589:$J$591</formula1>
    </dataValidation>
    <dataValidation type="list" allowBlank="1" showInputMessage="1" showErrorMessage="1" sqref="W65 W57 W89 V27 V39 W73 V21 V15 W81 V33" xr:uid="{00000000-0002-0000-0A00-000001000000}">
      <formula1>$J$597:$J$600</formula1>
    </dataValidation>
    <dataValidation type="list" allowBlank="1" showInputMessage="1" showErrorMessage="1" sqref="L57:L58 L89:L90 L81:L82 K21:K22 L73:L74 L65:L66 K15:K16 K33:K34 K39:K40 K27:K28" xr:uid="{00000000-0002-0000-0A00-000002000000}">
      <formula1>$H$568:$H$585</formula1>
    </dataValidation>
    <dataValidation type="list" allowBlank="1" showInputMessage="1" showErrorMessage="1" sqref="G95 G87 G26 G79 G20 G63 G71 G44 G38 G32" xr:uid="{00000000-0002-0000-0A00-000003000000}">
      <formula1>$N$593:$N$599</formula1>
    </dataValidation>
    <dataValidation type="list" allowBlank="1" showInputMessage="1" showErrorMessage="1" sqref="Q15:Q16 R89:R90 R81:R82 R73:R74 R65:R66 R57:R58 Q39:Q40 Q27:Q28 Q33:Q34 Q21:Q22" xr:uid="{00000000-0002-0000-0A00-000004000000}">
      <formula1>$L$196:$L$199</formula1>
    </dataValidation>
    <dataValidation type="list" allowBlank="1" showInputMessage="1" showErrorMessage="1" sqref="L15:L16 L21:L22 L27:L28 L33:L34 L39:L40 M57:M58 M65:M66 M73:M74 M81:M82 M89:M90" xr:uid="{00000000-0002-0000-0A00-000005000000}">
      <formula1>$F$588:$F$605</formula1>
    </dataValidation>
  </dataValidations>
  <pageMargins left="0.7" right="0.7" top="0.75" bottom="0.75" header="0.3" footer="0.3"/>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L22" sqref="L22"/>
    </sheetView>
  </sheetViews>
  <sheetFormatPr defaultRowHeight="14.25" x14ac:dyDescent="0.15"/>
  <sheetData/>
  <phoneticPr fontId="3"/>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519"/>
  <sheetViews>
    <sheetView showGridLines="0" showRowColHeaders="0" showZeros="0" workbookViewId="0">
      <selection activeCell="E12" sqref="E12"/>
    </sheetView>
  </sheetViews>
  <sheetFormatPr defaultColWidth="10.75" defaultRowHeight="14.25" x14ac:dyDescent="0.15"/>
  <cols>
    <col min="1" max="1" width="1.875" style="60" customWidth="1"/>
    <col min="2" max="2" width="8.125" style="60" customWidth="1"/>
    <col min="3" max="3" width="12.75" style="60" customWidth="1"/>
    <col min="4" max="4" width="10.75" style="60"/>
    <col min="5" max="15" width="10.625" style="60" customWidth="1"/>
    <col min="16" max="16" width="13.875" style="60" hidden="1" customWidth="1"/>
    <col min="17" max="22" width="10.75" style="60" hidden="1" customWidth="1"/>
    <col min="23" max="26" width="0" style="60" hidden="1" customWidth="1"/>
    <col min="27" max="16384" width="10.75" style="60"/>
  </cols>
  <sheetData>
    <row r="1" spans="1:24" ht="18.75" x14ac:dyDescent="0.2">
      <c r="A1" s="487"/>
      <c r="B1" s="918" t="s">
        <v>1289</v>
      </c>
      <c r="C1" s="919"/>
      <c r="D1" s="919"/>
      <c r="E1" s="919"/>
      <c r="F1" s="919"/>
      <c r="G1" s="919"/>
      <c r="H1" s="919"/>
      <c r="I1" s="919"/>
      <c r="J1" s="920"/>
      <c r="K1" s="487"/>
      <c r="L1" s="487"/>
      <c r="M1" s="487"/>
      <c r="N1" s="487"/>
      <c r="O1" s="487"/>
    </row>
    <row r="2" spans="1:24" x14ac:dyDescent="0.15">
      <c r="A2" s="487"/>
      <c r="B2" s="1744" t="s">
        <v>1290</v>
      </c>
      <c r="C2" s="982"/>
      <c r="D2" s="983"/>
      <c r="E2" s="1745" t="s">
        <v>1291</v>
      </c>
      <c r="F2" s="1746"/>
      <c r="G2" s="1745"/>
      <c r="H2" s="1746"/>
      <c r="I2" s="1011" t="s">
        <v>1293</v>
      </c>
      <c r="J2" s="1011"/>
      <c r="K2" s="487" t="str">
        <f>+""</f>
        <v/>
      </c>
      <c r="L2" s="487"/>
      <c r="M2" s="487"/>
      <c r="N2" s="487"/>
      <c r="O2" s="487"/>
    </row>
    <row r="3" spans="1:24" x14ac:dyDescent="0.15">
      <c r="A3" s="487"/>
      <c r="B3" s="1674"/>
      <c r="C3" s="984" t="s">
        <v>1295</v>
      </c>
      <c r="D3" s="985" t="s">
        <v>1296</v>
      </c>
      <c r="E3" s="996">
        <f>IF(E2=0,0,準備!$E$57+準備!$D$43)</f>
        <v>650</v>
      </c>
      <c r="F3" s="997">
        <f>+E3</f>
        <v>650</v>
      </c>
      <c r="G3" s="996">
        <f>IF(G2=0,0,準備!$E$57+準備!$D$43)</f>
        <v>0</v>
      </c>
      <c r="H3" s="997">
        <f>+G3</f>
        <v>0</v>
      </c>
      <c r="I3" s="997" t="e">
        <f>IF(I2=0,0,MAX(準備!$E$60+準備!$C$48,準備!$E$63+準備!$C$48))</f>
        <v>#N/A</v>
      </c>
      <c r="J3" s="997">
        <f>IF(J2=0,0,MAX(準備!$E$60+準備!$C$48,準備!$E$63+準備!$C$48))</f>
        <v>0</v>
      </c>
      <c r="K3" s="487"/>
      <c r="L3" s="487"/>
      <c r="M3" s="487"/>
      <c r="N3" s="487"/>
      <c r="O3" s="1092"/>
      <c r="P3" s="412"/>
      <c r="Q3" s="412"/>
      <c r="R3" s="30"/>
      <c r="S3" s="30"/>
      <c r="T3" s="30"/>
      <c r="U3" s="30"/>
      <c r="V3" s="30"/>
      <c r="W3" s="30"/>
      <c r="X3" s="30"/>
    </row>
    <row r="4" spans="1:24" x14ac:dyDescent="0.15">
      <c r="A4" s="487"/>
      <c r="B4" s="1674"/>
      <c r="C4" s="984" t="s">
        <v>1297</v>
      </c>
      <c r="D4" s="986"/>
      <c r="E4" s="992" t="s">
        <v>217</v>
      </c>
      <c r="F4" s="1062" t="s">
        <v>1298</v>
      </c>
      <c r="G4" s="992" t="s">
        <v>217</v>
      </c>
      <c r="H4" s="1062" t="s">
        <v>1298</v>
      </c>
      <c r="I4" s="991"/>
      <c r="J4" s="991"/>
      <c r="K4" s="487"/>
      <c r="L4" s="487"/>
      <c r="M4" s="487"/>
      <c r="N4" s="487"/>
      <c r="O4" s="495"/>
      <c r="P4" s="1010"/>
      <c r="Q4" s="1010"/>
      <c r="R4" s="30"/>
      <c r="S4" s="30"/>
      <c r="T4" s="30"/>
      <c r="U4" s="30"/>
      <c r="V4" s="30"/>
      <c r="W4" s="30"/>
      <c r="X4" s="30"/>
    </row>
    <row r="5" spans="1:24" x14ac:dyDescent="0.15">
      <c r="A5" s="487"/>
      <c r="B5" s="1674"/>
      <c r="C5" s="987" t="s">
        <v>1299</v>
      </c>
      <c r="D5" s="983"/>
      <c r="E5" s="1006" t="s">
        <v>1300</v>
      </c>
      <c r="F5" s="1006" t="str">
        <f>+E5</f>
        <v xml:space="preserve">   杉　　　　　　　　　　　　　　　　　　　　　　　　　　　　　　1</v>
      </c>
      <c r="G5" s="1006" t="s">
        <v>853</v>
      </c>
      <c r="H5" s="1006" t="str">
        <f>+G5</f>
        <v/>
      </c>
      <c r="I5" s="1006" t="s">
        <v>1300</v>
      </c>
      <c r="J5" s="1006" t="s">
        <v>853</v>
      </c>
      <c r="K5" s="487" t="str">
        <f>+""</f>
        <v/>
      </c>
      <c r="L5" s="487"/>
      <c r="M5" s="487"/>
      <c r="N5" s="487"/>
      <c r="O5" s="495"/>
      <c r="P5" s="927">
        <f t="shared" ref="P5:U5" si="0">+VALUE(RIGHT(E5,4))</f>
        <v>1</v>
      </c>
      <c r="Q5" s="927">
        <f t="shared" si="0"/>
        <v>1</v>
      </c>
      <c r="R5" s="927" t="e">
        <f t="shared" si="0"/>
        <v>#VALUE!</v>
      </c>
      <c r="S5" s="927" t="e">
        <f t="shared" si="0"/>
        <v>#VALUE!</v>
      </c>
      <c r="T5" s="927">
        <f t="shared" si="0"/>
        <v>1</v>
      </c>
      <c r="U5" s="927" t="e">
        <f t="shared" si="0"/>
        <v>#VALUE!</v>
      </c>
      <c r="V5" s="30"/>
      <c r="W5" s="30"/>
      <c r="X5" s="30"/>
    </row>
    <row r="6" spans="1:24" x14ac:dyDescent="0.15">
      <c r="A6" s="487"/>
      <c r="B6" s="1674"/>
      <c r="C6" s="1679" t="s">
        <v>1302</v>
      </c>
      <c r="D6" s="985" t="s">
        <v>1303</v>
      </c>
      <c r="E6" s="997">
        <f t="shared" ref="E6:J10" si="1">IF(E$5=+"",0,+P6)</f>
        <v>0</v>
      </c>
      <c r="F6" s="997">
        <f t="shared" si="1"/>
        <v>0</v>
      </c>
      <c r="G6" s="997">
        <f t="shared" si="1"/>
        <v>0</v>
      </c>
      <c r="H6" s="997">
        <f t="shared" si="1"/>
        <v>0</v>
      </c>
      <c r="I6" s="997">
        <f t="shared" si="1"/>
        <v>0</v>
      </c>
      <c r="J6" s="997">
        <f t="shared" si="1"/>
        <v>0</v>
      </c>
      <c r="K6" s="487"/>
      <c r="L6" s="487"/>
      <c r="M6" s="487"/>
      <c r="N6" s="487"/>
      <c r="O6" s="495"/>
      <c r="P6" s="10">
        <f>IF(VALUE(RIGHT(断面算定!$G$3,4))=2,ROUND(VLOOKUP(P5,許容応力!$B$6:$K$22,7)*1.1/3*100,0),ROUND(VLOOKUP(P5,許容応力!$B$6:$K$22,7)*1.1/3*1.3*100,0))</f>
        <v>0</v>
      </c>
      <c r="Q6" s="10">
        <f>IF(VALUE(RIGHT(断面算定!$G$3,4))=2,ROUND(VLOOKUP(Q5,許容応力!$B$6:$K$22,7)*1.1/3*100,0),ROUND(VLOOKUP(Q5,許容応力!$B$6:$K$22,7)*1.1/3*1.3*100,0))</f>
        <v>0</v>
      </c>
      <c r="R6" s="10" t="e">
        <f>IF(VALUE(RIGHT(断面算定!$G$3,4))=2,ROUND(VLOOKUP(R5,許容応力!$B$6:$K$22,7)*1.1/3*100,0),ROUND(VLOOKUP(R5,許容応力!$B$6:$K$22,7)*1.1/3*1.3*100,0))</f>
        <v>#VALUE!</v>
      </c>
      <c r="S6" s="10" t="e">
        <f>IF(VALUE(RIGHT(断面算定!$G$3,4))=2,ROUND(VLOOKUP(S5,許容応力!$B$6:$K$22,7)*1.1/3*100,0),ROUND(VLOOKUP(S5,許容応力!$B$6:$K$22,7)*1.1/3*1.3*100,0))</f>
        <v>#VALUE!</v>
      </c>
      <c r="T6" s="10">
        <f>IF(VALUE(RIGHT(断面算定!$G$3,4))=2,ROUND(VLOOKUP(T5,許容応力!$B$6:$K$22,7)*1.1/3*100,0),ROUND(VLOOKUP(T5,許容応力!$B$6:$K$22,7)*1.1/3*1.3*100,0))</f>
        <v>0</v>
      </c>
      <c r="U6" s="10" t="e">
        <f>IF(VALUE(RIGHT(断面算定!$G$3,4))=2,ROUND(VLOOKUP(U5,許容応力!$B$6:$K$22,7)*1.1/3*100,0),ROUND(VLOOKUP(U5,許容応力!$B$6:$K$22,7)*1.1/3*1.3*100,0))</f>
        <v>#VALUE!</v>
      </c>
      <c r="W6" s="30"/>
      <c r="X6" s="30"/>
    </row>
    <row r="7" spans="1:24" x14ac:dyDescent="0.15">
      <c r="A7" s="487"/>
      <c r="B7" s="1674"/>
      <c r="C7" s="1305"/>
      <c r="D7" s="985" t="s">
        <v>1304</v>
      </c>
      <c r="E7" s="997">
        <f t="shared" si="1"/>
        <v>0</v>
      </c>
      <c r="F7" s="997">
        <f t="shared" si="1"/>
        <v>0</v>
      </c>
      <c r="G7" s="997">
        <f t="shared" si="1"/>
        <v>0</v>
      </c>
      <c r="H7" s="997">
        <f t="shared" si="1"/>
        <v>0</v>
      </c>
      <c r="I7" s="997">
        <f t="shared" si="1"/>
        <v>0</v>
      </c>
      <c r="J7" s="997">
        <f t="shared" si="1"/>
        <v>0</v>
      </c>
      <c r="K7" s="487"/>
      <c r="L7" s="487"/>
      <c r="M7" s="487"/>
      <c r="N7" s="487"/>
      <c r="O7" s="520"/>
      <c r="P7" s="10">
        <f>IF(VALUE(RIGHT(断面算定!$G$3,4))=2,ROUND(VLOOKUP(P5,許容応力!$B$6:$K$22,8)*1.1/3*100,0),ROUND(VLOOKUP(P5,許容応力!$B$6:$K$22,8)*1.1/3*1.3*100,0))</f>
        <v>0</v>
      </c>
      <c r="Q7" s="10">
        <f>IF(VALUE(RIGHT(断面算定!$G$3,4))=2,ROUND(VLOOKUP(Q5,許容応力!$B$6:$K$22,8)*1.1/3*100,0),ROUND(VLOOKUP(Q5,許容応力!$B$6:$K$22,8)*1.1/3*1.3*100,0))</f>
        <v>0</v>
      </c>
      <c r="R7" s="10" t="e">
        <f>IF(VALUE(RIGHT(断面算定!$G$3,4))=2,ROUND(VLOOKUP(R5,許容応力!$B$6:$K$22,8)*1.1/3*100,0),ROUND(VLOOKUP(R5,許容応力!$B$6:$K$22,8)*1.1/3*1.3*100,0))</f>
        <v>#VALUE!</v>
      </c>
      <c r="S7" s="10" t="e">
        <f>IF(VALUE(RIGHT(断面算定!$G$3,4))=2,ROUND(VLOOKUP(S5,許容応力!$B$6:$K$22,8)*1.1/3*100,0),ROUND(VLOOKUP(S5,許容応力!$B$6:$K$22,8)*1.1/3*1.3*100,0))</f>
        <v>#VALUE!</v>
      </c>
      <c r="T7" s="10">
        <f>IF(VALUE(RIGHT(断面算定!$G$3,4))=2,ROUND(VLOOKUP(T5,許容応力!$B$6:$K$22,8)*1.1/3*100,0),ROUND(VLOOKUP(T5,許容応力!$B$6:$K$22,8)*1.1/3*1.3*100,0))</f>
        <v>0</v>
      </c>
      <c r="U7" s="10" t="e">
        <f>IF(VALUE(RIGHT(断面算定!$G$3,4))=2,ROUND(VLOOKUP(U5,許容応力!$B$6:$K$22,8)*1.1/3*100,0),ROUND(VLOOKUP(U5,許容応力!$B$6:$K$22,8)*1.1/3*1.3*100,0))</f>
        <v>#VALUE!</v>
      </c>
      <c r="V7" s="30"/>
      <c r="W7" s="30"/>
      <c r="X7" s="30"/>
    </row>
    <row r="8" spans="1:24" x14ac:dyDescent="0.15">
      <c r="A8" s="487"/>
      <c r="B8" s="1674"/>
      <c r="C8" s="1305"/>
      <c r="D8" s="985" t="s">
        <v>1305</v>
      </c>
      <c r="E8" s="997">
        <f t="shared" si="1"/>
        <v>0</v>
      </c>
      <c r="F8" s="997">
        <f t="shared" si="1"/>
        <v>0</v>
      </c>
      <c r="G8" s="997">
        <f t="shared" si="1"/>
        <v>0</v>
      </c>
      <c r="H8" s="997">
        <f t="shared" si="1"/>
        <v>0</v>
      </c>
      <c r="I8" s="997">
        <f t="shared" si="1"/>
        <v>0</v>
      </c>
      <c r="J8" s="997">
        <f t="shared" si="1"/>
        <v>0</v>
      </c>
      <c r="K8" s="487"/>
      <c r="L8" s="487"/>
      <c r="M8" s="487"/>
      <c r="N8" s="487"/>
      <c r="O8" s="520"/>
      <c r="P8" s="10">
        <f>ROUND(VLOOKUP(P5,許容応力!$B$6:$K$22,10)*100,0)</f>
        <v>0</v>
      </c>
      <c r="Q8" s="10">
        <f>ROUND(VLOOKUP(Q$5,許容応力!$B$6:$K$22,10)*100,0)</f>
        <v>0</v>
      </c>
      <c r="R8" s="10" t="e">
        <f>ROUND(VLOOKUP(R$5,許容応力!$B$6:$K$22,10)*100,0)</f>
        <v>#VALUE!</v>
      </c>
      <c r="S8" s="10" t="e">
        <f>ROUND(VLOOKUP(S$5,許容応力!$B$6:$K$22,10)*100,0)</f>
        <v>#VALUE!</v>
      </c>
      <c r="T8" s="10">
        <f>ROUND(VLOOKUP(T$5,許容応力!$B$6:$K$22,10)*100,0)</f>
        <v>0</v>
      </c>
      <c r="U8" s="10" t="e">
        <f>ROUND(VLOOKUP(U$5,許容応力!$B$6:$K$22,10)*100,0)</f>
        <v>#VALUE!</v>
      </c>
      <c r="V8" s="30"/>
      <c r="W8" s="30"/>
      <c r="X8" s="30"/>
    </row>
    <row r="9" spans="1:24" x14ac:dyDescent="0.15">
      <c r="A9" s="487"/>
      <c r="B9" s="1674"/>
      <c r="C9" s="1305"/>
      <c r="D9" s="985" t="s">
        <v>641</v>
      </c>
      <c r="E9" s="997">
        <f t="shared" si="1"/>
        <v>0</v>
      </c>
      <c r="F9" s="997">
        <f t="shared" si="1"/>
        <v>0</v>
      </c>
      <c r="G9" s="997">
        <f t="shared" si="1"/>
        <v>0</v>
      </c>
      <c r="H9" s="997">
        <f t="shared" si="1"/>
        <v>0</v>
      </c>
      <c r="I9" s="997">
        <f t="shared" si="1"/>
        <v>0</v>
      </c>
      <c r="J9" s="997">
        <f t="shared" si="1"/>
        <v>0</v>
      </c>
      <c r="K9" s="487"/>
      <c r="L9" s="487"/>
      <c r="M9" s="487"/>
      <c r="N9" s="487"/>
      <c r="O9" s="520"/>
      <c r="P9" s="10">
        <f>IF(VALUE(RIGHT(断面算定!$G$3,4))=2,ROUND(VLOOKUP(P5,許容応力!$B$6:$K$22,6)*1.1/3*100,0),ROUND(VLOOKUP(P5,許容応力!$B$6:$K$22,6)*1.1/3*1.3*100,0))</f>
        <v>0</v>
      </c>
      <c r="Q9" s="10">
        <f>IF(VALUE(RIGHT(断面算定!$G$3,4))=2,ROUND(VLOOKUP(Q$5,許容応力!$B$6:$K$22,6)*1.1/3*100,0),ROUND(VLOOKUP(Q$5,許容応力!$B$6:$K$22,6)*1.1/3*1.3*100,0))</f>
        <v>0</v>
      </c>
      <c r="R9" s="10" t="e">
        <f>IF(VALUE(RIGHT(断面算定!$G$3,4))=2,ROUND(VLOOKUP(R$5,許容応力!$B$6:$K$22,6)*1.1/3*100,0),ROUND(VLOOKUP(R$5,許容応力!$B$6:$K$22,6)*1.1/3*1.3*100,0))</f>
        <v>#VALUE!</v>
      </c>
      <c r="S9" s="10" t="e">
        <f>IF(VALUE(RIGHT(断面算定!$G$3,4))=2,ROUND(VLOOKUP(S$5,許容応力!$B$6:$K$22,6)*1.1/3*100,0),ROUND(VLOOKUP(S$5,許容応力!$B$6:$K$22,6)*1.1/3*1.3*100,0))</f>
        <v>#VALUE!</v>
      </c>
      <c r="T9" s="10">
        <f>IF(VALUE(RIGHT(断面算定!$G$3,4))=2,ROUND(VLOOKUP(T$5,許容応力!$B$6:$K$22,6)*1.1/3*100,0),ROUND(VLOOKUP(T$5,許容応力!$B$6:$K$22,6)*1.1/3*1.3*100,0))</f>
        <v>0</v>
      </c>
      <c r="U9" s="10" t="e">
        <f>IF(VALUE(RIGHT(断面算定!$G$3,4))=2,ROUND(VLOOKUP(U$5,許容応力!$B$6:$K$22,6)*1.1/3*100,0),ROUND(VLOOKUP(U$5,許容応力!$B$6:$K$22,6)*1.1/3*1.3*100,0))</f>
        <v>#VALUE!</v>
      </c>
      <c r="V9" s="30"/>
      <c r="W9" s="30"/>
      <c r="X9" s="30"/>
    </row>
    <row r="10" spans="1:24" x14ac:dyDescent="0.15">
      <c r="A10" s="487"/>
      <c r="B10" s="1674"/>
      <c r="C10" s="1276"/>
      <c r="D10" s="985" t="s">
        <v>599</v>
      </c>
      <c r="E10" s="997">
        <f t="shared" si="1"/>
        <v>0</v>
      </c>
      <c r="F10" s="997">
        <f t="shared" si="1"/>
        <v>0</v>
      </c>
      <c r="G10" s="997">
        <f t="shared" si="1"/>
        <v>0</v>
      </c>
      <c r="H10" s="997">
        <f t="shared" si="1"/>
        <v>0</v>
      </c>
      <c r="I10" s="997">
        <f t="shared" si="1"/>
        <v>0</v>
      </c>
      <c r="J10" s="997">
        <f t="shared" si="1"/>
        <v>0</v>
      </c>
      <c r="K10" s="487"/>
      <c r="L10" s="487"/>
      <c r="M10" s="487"/>
      <c r="N10" s="487"/>
      <c r="O10" s="520"/>
      <c r="P10" s="10">
        <f>IF(VALUE(RIGHT(断面算定!$G$3,4))=2,ROUND(VLOOKUP(P5,許容応力!$B$6:$K$22,5)*1.1/3*100,0),ROUND(VLOOKUP(P5,許容応力!$B$6:$K$22,5)*1.1/3*1.3*100,0))</f>
        <v>0</v>
      </c>
      <c r="Q10" s="10">
        <f>IF(VALUE(RIGHT(断面算定!$G$3,4))=2,ROUND(VLOOKUP(Q$5,許容応力!$B$6:$K$22,5)*1.1/3*100,0),ROUND(VLOOKUP(Q$5,許容応力!$B$6:$K$22,5)*1.1/3*1.3*100,0))</f>
        <v>0</v>
      </c>
      <c r="R10" s="10" t="e">
        <f>IF(VALUE(RIGHT(断面算定!$G$3,4))=2,ROUND(VLOOKUP(R$5,許容応力!$B$6:$K$22,5)*1.1/3*100,0),ROUND(VLOOKUP(R$5,許容応力!$B$6:$K$22,5)*1.1/3*1.3*100,0))</f>
        <v>#VALUE!</v>
      </c>
      <c r="S10" s="10" t="e">
        <f>IF(VALUE(RIGHT(断面算定!$G$3,4))=2,ROUND(VLOOKUP(S$5,許容応力!$B$6:$K$22,5)*1.1/3*100,0),ROUND(VLOOKUP(S$5,許容応力!$B$6:$K$22,5)*1.1/3*1.3*100,0))</f>
        <v>#VALUE!</v>
      </c>
      <c r="T10" s="10">
        <f>IF(VALUE(RIGHT(断面算定!$G$3,4))=2,ROUND(VLOOKUP(T$5,許容応力!$B$6:$K$22,5)*1.1/3*100,0),ROUND(VLOOKUP(T$5,許容応力!$B$6:$K$22,5)*1.1/3*1.3*100,0))</f>
        <v>0</v>
      </c>
      <c r="U10" s="10" t="e">
        <f>IF(VALUE(RIGHT(断面算定!$G$3,4))=2,ROUND(VLOOKUP(U$5,許容応力!$B$6:$K$22,5)*1.1/3*100,0),ROUND(VLOOKUP(U$5,許容応力!$B$6:$K$22,5)*1.1/3*1.3*100,0))</f>
        <v>#VALUE!</v>
      </c>
      <c r="V10" s="30"/>
      <c r="W10" s="30"/>
      <c r="X10" s="30"/>
    </row>
    <row r="11" spans="1:24" x14ac:dyDescent="0.15">
      <c r="A11" s="487"/>
      <c r="B11" s="1674"/>
      <c r="C11" s="1057" t="s">
        <v>1507</v>
      </c>
      <c r="D11" s="985"/>
      <c r="E11" s="922">
        <v>0.4</v>
      </c>
      <c r="F11" s="1002">
        <f>+E11</f>
        <v>0.4</v>
      </c>
      <c r="G11" s="922"/>
      <c r="H11" s="1002">
        <f>+G11</f>
        <v>0</v>
      </c>
      <c r="I11" s="997"/>
      <c r="J11" s="997"/>
      <c r="K11" s="487"/>
      <c r="L11" s="487"/>
      <c r="M11" s="487"/>
      <c r="N11" s="487"/>
      <c r="O11" s="520"/>
      <c r="P11" s="30"/>
      <c r="Q11" s="30"/>
      <c r="R11" s="30"/>
      <c r="S11" s="30"/>
      <c r="T11" s="30"/>
      <c r="U11" s="30"/>
      <c r="V11" s="30"/>
      <c r="W11" s="30"/>
      <c r="X11" s="30"/>
    </row>
    <row r="12" spans="1:24" x14ac:dyDescent="0.15">
      <c r="A12" s="487"/>
      <c r="B12" s="1674"/>
      <c r="C12" s="988" t="s">
        <v>1307</v>
      </c>
      <c r="D12" s="1062" t="s">
        <v>1308</v>
      </c>
      <c r="E12" s="923">
        <v>0.6</v>
      </c>
      <c r="F12" s="923">
        <v>1.1499999999999999</v>
      </c>
      <c r="G12" s="923"/>
      <c r="H12" s="923"/>
      <c r="I12" s="923">
        <v>1.31</v>
      </c>
      <c r="J12" s="923"/>
      <c r="K12" s="487"/>
      <c r="L12" s="487"/>
      <c r="M12" s="487"/>
      <c r="N12" s="487"/>
      <c r="O12" s="520"/>
      <c r="P12" s="30"/>
      <c r="Q12" s="30"/>
      <c r="R12" s="30"/>
      <c r="S12" s="30"/>
      <c r="T12" s="30"/>
      <c r="U12" s="30"/>
      <c r="V12" s="30"/>
      <c r="W12" s="30"/>
      <c r="X12" s="30"/>
    </row>
    <row r="13" spans="1:24" x14ac:dyDescent="0.15">
      <c r="A13" s="487"/>
      <c r="B13" s="1674"/>
      <c r="C13" s="988" t="s">
        <v>1309</v>
      </c>
      <c r="D13" s="1062" t="s">
        <v>1310</v>
      </c>
      <c r="E13" s="998">
        <f>+IF(E12=0,0,100)</f>
        <v>100</v>
      </c>
      <c r="F13" s="998">
        <f t="shared" ref="F13:J13" si="2">+IF(F12=0,0,100)</f>
        <v>100</v>
      </c>
      <c r="G13" s="998">
        <f t="shared" si="2"/>
        <v>0</v>
      </c>
      <c r="H13" s="998">
        <f t="shared" si="2"/>
        <v>0</v>
      </c>
      <c r="I13" s="998">
        <f t="shared" si="2"/>
        <v>100</v>
      </c>
      <c r="J13" s="998">
        <f t="shared" si="2"/>
        <v>0</v>
      </c>
      <c r="K13" s="487"/>
      <c r="L13" s="487"/>
      <c r="M13" s="487"/>
      <c r="N13" s="487"/>
      <c r="O13" s="520"/>
      <c r="P13" s="30"/>
      <c r="Q13" s="30"/>
      <c r="R13" s="30"/>
      <c r="S13" s="30"/>
      <c r="T13" s="30"/>
      <c r="U13" s="30"/>
      <c r="V13" s="30"/>
      <c r="W13" s="30"/>
      <c r="X13" s="30"/>
    </row>
    <row r="14" spans="1:24" x14ac:dyDescent="0.15">
      <c r="A14" s="487"/>
      <c r="B14" s="1674"/>
      <c r="C14" s="988" t="s">
        <v>1311</v>
      </c>
      <c r="D14" s="1062" t="s">
        <v>1312</v>
      </c>
      <c r="E14" s="923">
        <v>3</v>
      </c>
      <c r="F14" s="923">
        <v>3</v>
      </c>
      <c r="G14" s="923"/>
      <c r="H14" s="923"/>
      <c r="I14" s="923">
        <v>3</v>
      </c>
      <c r="J14" s="923"/>
      <c r="K14" s="487"/>
      <c r="L14" s="487"/>
      <c r="M14" s="487"/>
      <c r="N14" s="487"/>
      <c r="O14" s="520"/>
      <c r="P14" s="30"/>
      <c r="Q14" s="30"/>
      <c r="R14" s="30"/>
      <c r="S14" s="30"/>
      <c r="T14" s="30"/>
      <c r="U14" s="30"/>
      <c r="V14" s="30"/>
      <c r="W14" s="30"/>
      <c r="X14" s="30"/>
    </row>
    <row r="15" spans="1:24" x14ac:dyDescent="0.15">
      <c r="A15" s="487"/>
      <c r="B15" s="1674"/>
      <c r="C15" s="989"/>
      <c r="D15" s="1062" t="s">
        <v>1313</v>
      </c>
      <c r="E15" s="997">
        <f t="shared" ref="E15:J15" si="3">ROUNDUP(E13*E14,0)</f>
        <v>300</v>
      </c>
      <c r="F15" s="997">
        <f t="shared" si="3"/>
        <v>300</v>
      </c>
      <c r="G15" s="997">
        <f t="shared" si="3"/>
        <v>0</v>
      </c>
      <c r="H15" s="997">
        <f t="shared" si="3"/>
        <v>0</v>
      </c>
      <c r="I15" s="997">
        <f t="shared" si="3"/>
        <v>300</v>
      </c>
      <c r="J15" s="997">
        <f t="shared" si="3"/>
        <v>0</v>
      </c>
      <c r="K15" s="487"/>
      <c r="L15" s="487"/>
      <c r="M15" s="487"/>
      <c r="N15" s="487"/>
      <c r="O15" s="520"/>
      <c r="P15" s="30"/>
      <c r="Q15" s="30"/>
      <c r="R15" s="30"/>
      <c r="S15" s="30"/>
      <c r="T15" s="30"/>
      <c r="U15" s="30"/>
      <c r="V15" s="30"/>
      <c r="W15" s="30"/>
      <c r="X15" s="30"/>
    </row>
    <row r="16" spans="1:24" x14ac:dyDescent="0.15">
      <c r="A16" s="487"/>
      <c r="B16" s="1674"/>
      <c r="C16" s="989"/>
      <c r="D16" s="1062" t="s">
        <v>1314</v>
      </c>
      <c r="E16" s="1012">
        <f t="shared" ref="E16:J16" si="4">ROUND(E13*E14*E14/6,0)</f>
        <v>150</v>
      </c>
      <c r="F16" s="1012">
        <f t="shared" si="4"/>
        <v>150</v>
      </c>
      <c r="G16" s="1012">
        <f t="shared" si="4"/>
        <v>0</v>
      </c>
      <c r="H16" s="1012">
        <f t="shared" si="4"/>
        <v>0</v>
      </c>
      <c r="I16" s="1012">
        <f t="shared" si="4"/>
        <v>150</v>
      </c>
      <c r="J16" s="1012">
        <f t="shared" si="4"/>
        <v>0</v>
      </c>
      <c r="K16" s="487"/>
      <c r="L16" s="487"/>
      <c r="M16" s="487"/>
      <c r="N16" s="487"/>
      <c r="O16" s="520"/>
      <c r="P16" s="30"/>
      <c r="Q16" s="30"/>
      <c r="R16" s="30"/>
      <c r="S16" s="30"/>
      <c r="T16" s="30"/>
      <c r="U16" s="30"/>
      <c r="V16" s="30"/>
      <c r="W16" s="30"/>
      <c r="X16" s="30"/>
    </row>
    <row r="17" spans="1:29" x14ac:dyDescent="0.15">
      <c r="A17" s="487"/>
      <c r="B17" s="1674"/>
      <c r="C17" s="989"/>
      <c r="D17" s="1062" t="s">
        <v>1315</v>
      </c>
      <c r="E17" s="996">
        <f>IF(E14=0,0,ROUND(E3*E361*E$12/E361*E$12/E361/2,0))</f>
        <v>126</v>
      </c>
      <c r="F17" s="996">
        <f>IF(F14=0,0,ROUND(F3*F361*F$12/F361*F$12/F361/8,0))</f>
        <v>116</v>
      </c>
      <c r="G17" s="996">
        <f>IF(G14=0,0,ROUND(G3*G361*G$12/G361*G$12/G361/2,0))</f>
        <v>0</v>
      </c>
      <c r="H17" s="996">
        <f>IF(H14=0,0,ROUND(H3*H361*H$12/H361*H$12/H361/8,0))</f>
        <v>0</v>
      </c>
      <c r="I17" s="996" t="e">
        <f>IF(I14=0,0,ROUND(I3*I12*I12/8,0))</f>
        <v>#N/A</v>
      </c>
      <c r="J17" s="996">
        <f>IF(J14=0,0,ROUND(J3*J12*J12/8,0))</f>
        <v>0</v>
      </c>
      <c r="K17" s="487"/>
      <c r="L17" s="487"/>
      <c r="M17" s="487"/>
      <c r="N17" s="487"/>
      <c r="O17" s="520"/>
      <c r="P17" s="30"/>
      <c r="Q17" s="30"/>
      <c r="R17" s="30"/>
      <c r="S17" s="30"/>
      <c r="T17" s="30"/>
      <c r="U17" s="30"/>
      <c r="V17" s="30"/>
      <c r="W17" s="30"/>
      <c r="X17" s="30"/>
    </row>
    <row r="18" spans="1:29" x14ac:dyDescent="0.15">
      <c r="A18" s="487"/>
      <c r="B18" s="1674"/>
      <c r="C18" s="989"/>
      <c r="D18" s="1062" t="s">
        <v>1316</v>
      </c>
      <c r="E18" s="996">
        <f t="shared" ref="E18:J18" si="5">ROUND(E3*E12,0)</f>
        <v>390</v>
      </c>
      <c r="F18" s="996">
        <f t="shared" si="5"/>
        <v>748</v>
      </c>
      <c r="G18" s="996">
        <f>ROUND(G3*G12,0)</f>
        <v>0</v>
      </c>
      <c r="H18" s="996">
        <f>ROUND(H3*H12,0)</f>
        <v>0</v>
      </c>
      <c r="I18" s="996" t="e">
        <f t="shared" si="5"/>
        <v>#N/A</v>
      </c>
      <c r="J18" s="996">
        <f t="shared" si="5"/>
        <v>0</v>
      </c>
      <c r="K18" s="487"/>
      <c r="L18" s="487"/>
      <c r="M18" s="487"/>
      <c r="N18" s="487"/>
      <c r="O18" s="520"/>
      <c r="P18" s="30"/>
      <c r="Q18" s="30"/>
      <c r="R18" s="30"/>
      <c r="S18" s="30"/>
      <c r="T18" s="30"/>
      <c r="U18" s="30"/>
      <c r="V18" s="30"/>
      <c r="W18" s="30"/>
      <c r="X18" s="30"/>
    </row>
    <row r="19" spans="1:29" x14ac:dyDescent="0.15">
      <c r="A19" s="487"/>
      <c r="B19" s="1674"/>
      <c r="C19" s="989"/>
      <c r="D19" s="1062" t="s">
        <v>1317</v>
      </c>
      <c r="E19" s="1013">
        <f t="shared" ref="E19:J19" si="6">IF(E14=0,0,ROUNDUP(E17*100/E16,0))</f>
        <v>84</v>
      </c>
      <c r="F19" s="1013">
        <f t="shared" si="6"/>
        <v>78</v>
      </c>
      <c r="G19" s="1013">
        <f t="shared" si="6"/>
        <v>0</v>
      </c>
      <c r="H19" s="1013">
        <f t="shared" si="6"/>
        <v>0</v>
      </c>
      <c r="I19" s="1013" t="e">
        <f t="shared" si="6"/>
        <v>#N/A</v>
      </c>
      <c r="J19" s="1013">
        <f t="shared" si="6"/>
        <v>0</v>
      </c>
      <c r="K19" s="487"/>
      <c r="L19" s="487"/>
      <c r="M19" s="487"/>
      <c r="N19" s="487"/>
      <c r="O19" s="520"/>
      <c r="P19" s="10"/>
      <c r="Q19" s="63"/>
      <c r="R19" s="10"/>
      <c r="S19" s="63"/>
      <c r="T19" s="10"/>
      <c r="U19" s="63"/>
      <c r="V19" s="30"/>
      <c r="W19" s="30"/>
      <c r="X19" s="30"/>
    </row>
    <row r="20" spans="1:29" x14ac:dyDescent="0.15">
      <c r="A20" s="487"/>
      <c r="B20" s="1674"/>
      <c r="C20" s="989"/>
      <c r="D20" s="1062" t="s">
        <v>1318</v>
      </c>
      <c r="E20" s="999" t="e">
        <f t="shared" ref="E20:J20" si="7">IF(E19=0,+"",ROUND(E19/E6,2))</f>
        <v>#DIV/0!</v>
      </c>
      <c r="F20" s="999" t="e">
        <f t="shared" si="7"/>
        <v>#DIV/0!</v>
      </c>
      <c r="G20" s="999" t="str">
        <f t="shared" si="7"/>
        <v/>
      </c>
      <c r="H20" s="999" t="str">
        <f t="shared" si="7"/>
        <v/>
      </c>
      <c r="I20" s="999" t="e">
        <f t="shared" si="7"/>
        <v>#N/A</v>
      </c>
      <c r="J20" s="999" t="str">
        <f t="shared" si="7"/>
        <v/>
      </c>
      <c r="K20" s="487"/>
      <c r="L20" s="487"/>
      <c r="M20" s="487"/>
      <c r="N20" s="487"/>
      <c r="O20" s="520"/>
      <c r="P20" s="30"/>
      <c r="Q20" s="30"/>
      <c r="R20" s="30"/>
      <c r="S20" s="30"/>
      <c r="T20" s="30"/>
      <c r="U20" s="30"/>
      <c r="V20" s="30"/>
      <c r="W20" s="30"/>
      <c r="X20" s="30"/>
    </row>
    <row r="21" spans="1:29" x14ac:dyDescent="0.15">
      <c r="A21" s="487"/>
      <c r="B21" s="1674"/>
      <c r="C21" s="989"/>
      <c r="D21" s="990" t="s">
        <v>165</v>
      </c>
      <c r="E21" s="1000" t="str">
        <f t="shared" ref="E21:J21" si="8">IF(E19=0,0,IF(E19&lt;=E6,"OK!","NO!"))</f>
        <v>NO!</v>
      </c>
      <c r="F21" s="1000" t="str">
        <f t="shared" si="8"/>
        <v>NO!</v>
      </c>
      <c r="G21" s="1000">
        <f t="shared" si="8"/>
        <v>0</v>
      </c>
      <c r="H21" s="1000">
        <f t="shared" si="8"/>
        <v>0</v>
      </c>
      <c r="I21" s="1000" t="e">
        <f t="shared" si="8"/>
        <v>#N/A</v>
      </c>
      <c r="J21" s="1000">
        <f t="shared" si="8"/>
        <v>0</v>
      </c>
      <c r="K21" s="487"/>
      <c r="L21" s="487"/>
      <c r="M21" s="487"/>
      <c r="N21" s="487"/>
      <c r="O21" s="520"/>
      <c r="P21" s="30"/>
      <c r="Q21" s="30"/>
      <c r="R21" s="30"/>
      <c r="S21" s="30"/>
      <c r="T21" s="30"/>
      <c r="U21" s="30"/>
      <c r="V21" s="30"/>
      <c r="W21" s="30"/>
      <c r="X21" s="30"/>
    </row>
    <row r="22" spans="1:29" x14ac:dyDescent="0.15">
      <c r="A22" s="487"/>
      <c r="B22" s="1674"/>
      <c r="C22" s="989"/>
      <c r="D22" s="988" t="s">
        <v>1319</v>
      </c>
      <c r="E22" s="997">
        <f t="shared" ref="E22:J22" si="9">ROUNDUP(E13*+POWER(E14,3)/12,0)</f>
        <v>225</v>
      </c>
      <c r="F22" s="997">
        <f t="shared" si="9"/>
        <v>225</v>
      </c>
      <c r="G22" s="997">
        <f t="shared" si="9"/>
        <v>0</v>
      </c>
      <c r="H22" s="997">
        <f t="shared" si="9"/>
        <v>0</v>
      </c>
      <c r="I22" s="997">
        <f t="shared" si="9"/>
        <v>225</v>
      </c>
      <c r="J22" s="997">
        <f t="shared" si="9"/>
        <v>0</v>
      </c>
      <c r="K22" s="487"/>
      <c r="L22" s="487"/>
      <c r="M22" s="487"/>
      <c r="N22" s="487"/>
      <c r="O22" s="520"/>
      <c r="P22" s="30"/>
      <c r="Q22" s="30"/>
      <c r="R22" s="30"/>
      <c r="S22" s="30"/>
      <c r="T22" s="30"/>
      <c r="U22" s="30"/>
      <c r="V22" s="30"/>
      <c r="W22" s="30"/>
      <c r="X22" s="30"/>
    </row>
    <row r="23" spans="1:29" ht="15.75" x14ac:dyDescent="0.15">
      <c r="A23" s="487"/>
      <c r="B23" s="1674"/>
      <c r="C23" s="1747" t="s">
        <v>1320</v>
      </c>
      <c r="D23" s="1748"/>
      <c r="E23" s="1001" t="e">
        <f>IF(E5=+"",0,ROUNDUP(5*E3*E361/100*POWER(E12/E361*100,4)/(384*E8*E22),2))</f>
        <v>#DIV/0!</v>
      </c>
      <c r="F23" s="1001" t="e">
        <f>IF(F5=+"",0,ROUNDUP(5*F3*F361/100*POWER(F12/F361*100,4)/(384*F8*F22),2))</f>
        <v>#DIV/0!</v>
      </c>
      <c r="G23" s="1001">
        <f>IF(G5=+"",0,ROUNDUP(5*G3*G361/100*POWER(G12/G361*100,4)/(384*G8*G22),2))</f>
        <v>0</v>
      </c>
      <c r="H23" s="1001">
        <f>IF(H5=+"",0,ROUNDUP(5*H3*H361/100*POWER(H12/H361*100,4)/(384*H8*H22),2))</f>
        <v>0</v>
      </c>
      <c r="I23" s="1001" t="e">
        <f>IF(I5=+"",0,ROUNDUP(5*I3/100*POWER(I12*100,4)/(384*I8*I22),2))</f>
        <v>#N/A</v>
      </c>
      <c r="J23" s="1001">
        <f>IF(J5=+"",0,ROUNDUP(5*J3/100*POWER(J12*100,4)/(384*J8*J22),2))</f>
        <v>0</v>
      </c>
      <c r="K23" s="487"/>
      <c r="L23" s="487"/>
      <c r="M23" s="487"/>
      <c r="N23" s="487"/>
      <c r="O23" s="520"/>
      <c r="P23" s="30"/>
      <c r="Q23" s="30"/>
      <c r="R23" s="30"/>
      <c r="S23" s="30"/>
      <c r="T23" s="30"/>
      <c r="U23" s="30"/>
      <c r="V23" s="30"/>
      <c r="W23" s="30"/>
      <c r="X23" s="30"/>
    </row>
    <row r="24" spans="1:29" x14ac:dyDescent="0.15">
      <c r="A24" s="487"/>
      <c r="B24" s="1674"/>
      <c r="C24" s="1749" t="s">
        <v>1321</v>
      </c>
      <c r="D24" s="988" t="s">
        <v>1322</v>
      </c>
      <c r="E24" s="1001">
        <f t="shared" ref="E24:J24" si="10">IF(E5=+"",0,2)</f>
        <v>2</v>
      </c>
      <c r="F24" s="1001">
        <f t="shared" si="10"/>
        <v>2</v>
      </c>
      <c r="G24" s="1001">
        <f t="shared" si="10"/>
        <v>0</v>
      </c>
      <c r="H24" s="1001">
        <f t="shared" si="10"/>
        <v>0</v>
      </c>
      <c r="I24" s="1001">
        <f t="shared" si="10"/>
        <v>2</v>
      </c>
      <c r="J24" s="1001">
        <f t="shared" si="10"/>
        <v>0</v>
      </c>
      <c r="K24" s="487"/>
      <c r="L24" s="487"/>
      <c r="M24" s="487"/>
      <c r="N24" s="487"/>
      <c r="O24" s="520"/>
      <c r="P24" s="30"/>
      <c r="Q24" s="30"/>
      <c r="R24" s="30"/>
      <c r="S24" s="30"/>
      <c r="T24" s="30"/>
      <c r="U24" s="30"/>
      <c r="V24" s="30"/>
      <c r="W24" s="30"/>
      <c r="X24" s="30"/>
    </row>
    <row r="25" spans="1:29" ht="15" thickBot="1" x14ac:dyDescent="0.2">
      <c r="A25" s="487"/>
      <c r="B25" s="1674"/>
      <c r="C25" s="1750"/>
      <c r="D25" s="1093" t="s">
        <v>165</v>
      </c>
      <c r="E25" s="1094" t="e">
        <f t="shared" ref="E25:J25" si="11">IF(E5=+"",0,IF(E23&lt;=2,"OK!","NO!"))</f>
        <v>#DIV/0!</v>
      </c>
      <c r="F25" s="1094" t="e">
        <f t="shared" si="11"/>
        <v>#DIV/0!</v>
      </c>
      <c r="G25" s="1094">
        <f t="shared" si="11"/>
        <v>0</v>
      </c>
      <c r="H25" s="1094">
        <f t="shared" si="11"/>
        <v>0</v>
      </c>
      <c r="I25" s="1094" t="e">
        <f t="shared" si="11"/>
        <v>#N/A</v>
      </c>
      <c r="J25" s="1094">
        <f t="shared" si="11"/>
        <v>0</v>
      </c>
      <c r="K25" s="487"/>
      <c r="L25" s="487"/>
      <c r="M25" s="487"/>
      <c r="N25" s="487"/>
      <c r="O25" s="520"/>
      <c r="P25" s="30"/>
      <c r="Q25" s="30"/>
      <c r="R25" s="30"/>
      <c r="S25" s="30"/>
      <c r="T25" s="30"/>
      <c r="U25" s="30"/>
      <c r="V25" s="30"/>
      <c r="W25" s="30"/>
      <c r="X25" s="30"/>
      <c r="AA25" s="1090" t="s">
        <v>1542</v>
      </c>
    </row>
    <row r="26" spans="1:29" ht="18.75" x14ac:dyDescent="0.15">
      <c r="A26" s="487"/>
      <c r="B26" s="1095" t="s">
        <v>1333</v>
      </c>
      <c r="C26" s="1096"/>
      <c r="D26" s="1104"/>
      <c r="E26" s="1726" t="s">
        <v>1522</v>
      </c>
      <c r="F26" s="1727"/>
      <c r="G26" s="1727"/>
      <c r="H26" s="1727"/>
      <c r="I26" s="1727"/>
      <c r="J26" s="1727"/>
      <c r="K26" s="1727" t="s">
        <v>1523</v>
      </c>
      <c r="L26" s="1728"/>
      <c r="M26" s="1728"/>
      <c r="N26" s="1728"/>
      <c r="O26" s="1728"/>
      <c r="P26" s="925"/>
      <c r="Q26" s="925"/>
      <c r="R26" s="925"/>
      <c r="S26" s="30"/>
      <c r="T26" s="30"/>
      <c r="U26" s="30"/>
      <c r="V26" s="30"/>
      <c r="W26" s="30"/>
      <c r="X26" s="30"/>
      <c r="AA26" s="1087" t="s">
        <v>1539</v>
      </c>
      <c r="AB26" s="1088"/>
      <c r="AC26" s="1089"/>
    </row>
    <row r="27" spans="1:29" x14ac:dyDescent="0.15">
      <c r="A27" s="487"/>
      <c r="B27" s="1097" t="s">
        <v>1334</v>
      </c>
      <c r="C27" s="1091"/>
      <c r="D27" s="1105"/>
      <c r="E27" s="1075" t="s">
        <v>1513</v>
      </c>
      <c r="F27" s="1039" t="s">
        <v>1514</v>
      </c>
      <c r="G27" s="921" t="s">
        <v>1515</v>
      </c>
      <c r="H27" s="921" t="s">
        <v>1516</v>
      </c>
      <c r="I27" s="1039" t="s">
        <v>1517</v>
      </c>
      <c r="J27" s="1040" t="s">
        <v>1518</v>
      </c>
      <c r="K27" s="1041" t="s">
        <v>1519</v>
      </c>
      <c r="L27" s="1039" t="s">
        <v>1520</v>
      </c>
      <c r="M27" s="1039" t="s">
        <v>1521</v>
      </c>
      <c r="N27" s="1039" t="s">
        <v>1516</v>
      </c>
      <c r="O27" s="1040" t="s">
        <v>1517</v>
      </c>
      <c r="P27" s="925"/>
      <c r="Q27" s="925"/>
      <c r="R27" s="925"/>
      <c r="S27" s="30"/>
      <c r="T27" s="30"/>
      <c r="U27" s="30"/>
      <c r="V27" s="30"/>
      <c r="W27" s="30"/>
      <c r="X27" s="30"/>
      <c r="AA27" s="60" t="s">
        <v>1540</v>
      </c>
    </row>
    <row r="28" spans="1:29" x14ac:dyDescent="0.15">
      <c r="A28" s="487"/>
      <c r="B28" s="1098"/>
      <c r="C28" s="993" t="s">
        <v>1299</v>
      </c>
      <c r="D28" s="1106"/>
      <c r="E28" s="1080">
        <f>+断面算定!J8</f>
        <v>0</v>
      </c>
      <c r="F28" s="991">
        <f>+断面算定!J10</f>
        <v>0</v>
      </c>
      <c r="G28" s="991">
        <f>+断面算定!J12</f>
        <v>0</v>
      </c>
      <c r="H28" s="991">
        <f>+断面算定!J14</f>
        <v>0</v>
      </c>
      <c r="I28" s="991">
        <f>+断面算定!J16</f>
        <v>0</v>
      </c>
      <c r="J28" s="1079">
        <f>+断面算定!J18</f>
        <v>0</v>
      </c>
      <c r="K28" s="1080">
        <f>+断面算定!$J30</f>
        <v>0</v>
      </c>
      <c r="L28" s="991">
        <f>+断面算定!$J32</f>
        <v>0</v>
      </c>
      <c r="M28" s="991">
        <f>+断面算定!$J34</f>
        <v>0</v>
      </c>
      <c r="N28" s="991">
        <f>+断面算定!$J36</f>
        <v>0</v>
      </c>
      <c r="O28" s="1079">
        <f>+断面算定!$J38</f>
        <v>0</v>
      </c>
      <c r="P28" s="126" t="str">
        <f>+""</f>
        <v/>
      </c>
      <c r="Q28" s="391"/>
      <c r="R28" s="126"/>
      <c r="S28" s="126"/>
      <c r="T28" s="391"/>
      <c r="U28" s="391"/>
      <c r="V28" s="30"/>
      <c r="W28" s="30"/>
      <c r="X28" s="30"/>
      <c r="AA28" s="60" t="s">
        <v>1541</v>
      </c>
    </row>
    <row r="29" spans="1:29" x14ac:dyDescent="0.15">
      <c r="A29" s="487"/>
      <c r="B29" s="1098"/>
      <c r="C29" s="1679" t="s">
        <v>1302</v>
      </c>
      <c r="D29" s="1014" t="s">
        <v>1326</v>
      </c>
      <c r="E29" s="1043">
        <f>IF(E$28=0,0,P30)</f>
        <v>0</v>
      </c>
      <c r="F29" s="1003">
        <f t="shared" ref="F29:J33" si="12">IF(F$28=0,0,Q30)</f>
        <v>0</v>
      </c>
      <c r="G29" s="1003">
        <f t="shared" si="12"/>
        <v>0</v>
      </c>
      <c r="H29" s="1003">
        <f t="shared" si="12"/>
        <v>0</v>
      </c>
      <c r="I29" s="1003">
        <f t="shared" si="12"/>
        <v>0</v>
      </c>
      <c r="J29" s="1042">
        <f t="shared" si="12"/>
        <v>0</v>
      </c>
      <c r="K29" s="1043">
        <f>IF(K$28=0,0,V30)</f>
        <v>0</v>
      </c>
      <c r="L29" s="1003">
        <f t="shared" ref="L29:O33" si="13">IF(L$28=0,0,W30)</f>
        <v>0</v>
      </c>
      <c r="M29" s="1003">
        <f t="shared" si="13"/>
        <v>0</v>
      </c>
      <c r="N29" s="1003">
        <f t="shared" si="13"/>
        <v>0</v>
      </c>
      <c r="O29" s="1042">
        <f t="shared" si="13"/>
        <v>0</v>
      </c>
      <c r="P29" s="927">
        <f>IF(E28=+"",0,+VALUE(RIGHT(E28,4)))</f>
        <v>0</v>
      </c>
      <c r="Q29" s="927">
        <f t="shared" ref="Q29:Z29" si="14">IF(F28=+"",0,+VALUE(RIGHT(F28,4)))</f>
        <v>0</v>
      </c>
      <c r="R29" s="927">
        <f t="shared" si="14"/>
        <v>0</v>
      </c>
      <c r="S29" s="927">
        <f t="shared" si="14"/>
        <v>0</v>
      </c>
      <c r="T29" s="927">
        <f t="shared" si="14"/>
        <v>0</v>
      </c>
      <c r="U29" s="927">
        <f t="shared" si="14"/>
        <v>0</v>
      </c>
      <c r="V29" s="927">
        <f t="shared" si="14"/>
        <v>0</v>
      </c>
      <c r="W29" s="927">
        <f t="shared" si="14"/>
        <v>0</v>
      </c>
      <c r="X29" s="927">
        <f t="shared" si="14"/>
        <v>0</v>
      </c>
      <c r="Y29" s="927">
        <f t="shared" si="14"/>
        <v>0</v>
      </c>
      <c r="Z29" s="927">
        <f t="shared" si="14"/>
        <v>0</v>
      </c>
    </row>
    <row r="30" spans="1:29" x14ac:dyDescent="0.15">
      <c r="A30" s="487"/>
      <c r="B30" s="1098"/>
      <c r="C30" s="1305"/>
      <c r="D30" s="1014" t="s">
        <v>1327</v>
      </c>
      <c r="E30" s="1043">
        <f>IF(E$28=0,0,P31)</f>
        <v>0</v>
      </c>
      <c r="F30" s="1003">
        <f t="shared" si="12"/>
        <v>0</v>
      </c>
      <c r="G30" s="1003">
        <f t="shared" si="12"/>
        <v>0</v>
      </c>
      <c r="H30" s="1003">
        <f t="shared" si="12"/>
        <v>0</v>
      </c>
      <c r="I30" s="1003">
        <f t="shared" si="12"/>
        <v>0</v>
      </c>
      <c r="J30" s="1042">
        <f t="shared" si="12"/>
        <v>0</v>
      </c>
      <c r="K30" s="1043">
        <f>IF(K$28=0,0,V31)</f>
        <v>0</v>
      </c>
      <c r="L30" s="1003">
        <f t="shared" si="13"/>
        <v>0</v>
      </c>
      <c r="M30" s="1003">
        <f t="shared" si="13"/>
        <v>0</v>
      </c>
      <c r="N30" s="1003">
        <f t="shared" si="13"/>
        <v>0</v>
      </c>
      <c r="O30" s="1042">
        <f t="shared" si="13"/>
        <v>0</v>
      </c>
      <c r="P30" s="10" t="e">
        <f>IF(VALUE(RIGHT(断面算定!$G$3,4))=2,ROUND(VLOOKUP(P29,許容応力!$B$6:$K$22,7)*1.1/3*100,0),ROUND(VLOOKUP(P29,許容応力!$B$6:$K$22,7)*1.1/3*1.3*100,0))</f>
        <v>#N/A</v>
      </c>
      <c r="Q30" s="10" t="e">
        <f>IF(VALUE(RIGHT(断面算定!$G$3,4))=2,ROUND(VLOOKUP(Q29,許容応力!$B$6:$K$22,7)*1.1/3*100,0),ROUND(VLOOKUP(Q29,許容応力!$B$6:$K$22,7)*1.1/3*1.3*100,0))</f>
        <v>#N/A</v>
      </c>
      <c r="R30" s="10" t="e">
        <f>IF(VALUE(RIGHT(断面算定!$G$3,4))=2,ROUND(VLOOKUP(R29,許容応力!$B$6:$K$22,7)*1.1/3*100,0),ROUND(VLOOKUP(R29,許容応力!$B$6:$K$22,7)*1.1/3*1.3*100,0))</f>
        <v>#N/A</v>
      </c>
      <c r="S30" s="10" t="e">
        <f>IF(VALUE(RIGHT(断面算定!$G$3,4))=2,ROUND(VLOOKUP(S29,許容応力!$B$6:$K$22,7)*1.1/3*100,0),ROUND(VLOOKUP(S29,許容応力!$B$6:$K$22,7)*1.1/3*1.3*100,0))</f>
        <v>#N/A</v>
      </c>
      <c r="T30" s="10" t="e">
        <f>IF(VALUE(RIGHT(断面算定!$G$3,4))=2,ROUND(VLOOKUP(T29,許容応力!$B$6:$K$22,7)*1.1/3*100,0),ROUND(VLOOKUP(T29,許容応力!$B$6:$K$22,7)*1.1/3*1.3*100,0))</f>
        <v>#N/A</v>
      </c>
      <c r="U30" s="10" t="e">
        <f>IF(VALUE(RIGHT(断面算定!$G$3,4))=2,ROUND(VLOOKUP(U29,許容応力!$B$6:$K$22,7)*1.1/3*100,0),ROUND(VLOOKUP(U29,許容応力!$B$6:$K$22,7)*1.1/3*1.3*100,0))</f>
        <v>#N/A</v>
      </c>
      <c r="V30" s="10" t="e">
        <f>IF(VALUE(RIGHT(断面算定!$G$3,4))=2,ROUND(VLOOKUP(V29,許容応力!$B$6:$K$22,7)*1.1/3*100,0),ROUND(VLOOKUP(V29,許容応力!$B$6:$K$22,7)*1.1/3*1.3*100,0))</f>
        <v>#N/A</v>
      </c>
      <c r="W30" s="10" t="e">
        <f>IF(VALUE(RIGHT(断面算定!$G$3,4))=2,ROUND(VLOOKUP(W29,許容応力!$B$6:$K$22,7)*1.1/3*100,0),ROUND(VLOOKUP(W29,許容応力!$B$6:$K$22,7)*1.1/3*1.3*100,0))</f>
        <v>#N/A</v>
      </c>
      <c r="X30" s="10" t="e">
        <f>IF(VALUE(RIGHT(断面算定!$G$3,4))=2,ROUND(VLOOKUP(X29,許容応力!$B$6:$K$22,7)*1.1/3*100,0),ROUND(VLOOKUP(X29,許容応力!$B$6:$K$22,7)*1.1/3*1.3*100,0))</f>
        <v>#N/A</v>
      </c>
      <c r="Y30" s="10" t="e">
        <f>IF(VALUE(RIGHT(断面算定!$G$3,4))=2,ROUND(VLOOKUP(Y29,許容応力!$B$6:$K$22,7)*1.1/3*100,0),ROUND(VLOOKUP(Y29,許容応力!$B$6:$K$22,7)*1.1/3*1.3*100,0))</f>
        <v>#N/A</v>
      </c>
      <c r="Z30" s="10" t="e">
        <f>IF(VALUE(RIGHT(断面算定!$G$3,4))=2,ROUND(VLOOKUP(Z29,許容応力!$B$6:$K$22,7)*1.1/3*100,0),ROUND(VLOOKUP(Z29,許容応力!$B$6:$K$22,7)*1.1/3*1.3*100,0))</f>
        <v>#N/A</v>
      </c>
    </row>
    <row r="31" spans="1:29" x14ac:dyDescent="0.15">
      <c r="A31" s="487"/>
      <c r="B31" s="1098"/>
      <c r="C31" s="1305"/>
      <c r="D31" s="1014" t="s">
        <v>1328</v>
      </c>
      <c r="E31" s="1043">
        <f>IF(E$28=0,0,P32)</f>
        <v>0</v>
      </c>
      <c r="F31" s="1003">
        <f t="shared" si="12"/>
        <v>0</v>
      </c>
      <c r="G31" s="1003">
        <f t="shared" si="12"/>
        <v>0</v>
      </c>
      <c r="H31" s="1003">
        <f t="shared" si="12"/>
        <v>0</v>
      </c>
      <c r="I31" s="1003">
        <f t="shared" si="12"/>
        <v>0</v>
      </c>
      <c r="J31" s="1042">
        <f t="shared" si="12"/>
        <v>0</v>
      </c>
      <c r="K31" s="1043">
        <f>IF(K$28=0,0,V32)</f>
        <v>0</v>
      </c>
      <c r="L31" s="1003">
        <f t="shared" si="13"/>
        <v>0</v>
      </c>
      <c r="M31" s="1003">
        <f t="shared" si="13"/>
        <v>0</v>
      </c>
      <c r="N31" s="1003">
        <f t="shared" si="13"/>
        <v>0</v>
      </c>
      <c r="O31" s="1042">
        <f t="shared" si="13"/>
        <v>0</v>
      </c>
      <c r="P31" s="10" t="e">
        <f>IF(VALUE(RIGHT(断面算定!$G$3,4))=2,ROUND(VLOOKUP(P29,許容応力!$B$6:$K$22,8)*1.1/3*100,0),ROUND(VLOOKUP(P29,許容応力!$B$6:$K$22,8)*1.1/3*1.3*100,0))</f>
        <v>#N/A</v>
      </c>
      <c r="Q31" s="10" t="e">
        <f>IF(VALUE(RIGHT(断面算定!$G$3,4))=2,ROUND(VLOOKUP(Q29,許容応力!$B$6:$K$22,8)*1.1/3*100,0),ROUND(VLOOKUP(Q29,許容応力!$B$6:$K$22,8)*1.1/3*1.3*100,0))</f>
        <v>#N/A</v>
      </c>
      <c r="R31" s="10" t="e">
        <f>IF(VALUE(RIGHT(断面算定!$G$3,4))=2,ROUND(VLOOKUP(R29,許容応力!$B$6:$K$22,8)*1.1/3*100,0),ROUND(VLOOKUP(R29,許容応力!$B$6:$K$22,8)*1.1/3*1.3*100,0))</f>
        <v>#N/A</v>
      </c>
      <c r="S31" s="10" t="e">
        <f>IF(VALUE(RIGHT(断面算定!$G$3,4))=2,ROUND(VLOOKUP(S29,許容応力!$B$6:$K$22,8)*1.1/3*100,0),ROUND(VLOOKUP(S29,許容応力!$B$6:$K$22,8)*1.1/3*1.3*100,0))</f>
        <v>#N/A</v>
      </c>
      <c r="T31" s="10" t="e">
        <f>IF(VALUE(RIGHT(断面算定!$G$3,4))=2,ROUND(VLOOKUP(T29,許容応力!$B$6:$K$22,8)*1.1/3*100,0),ROUND(VLOOKUP(T29,許容応力!$B$6:$K$22,8)*1.1/3*1.3*100,0))</f>
        <v>#N/A</v>
      </c>
      <c r="U31" s="10" t="e">
        <f>IF(VALUE(RIGHT(断面算定!$G$3,4))=2,ROUND(VLOOKUP(U29,許容応力!$B$6:$K$22,8)*1.1/3*100,0),ROUND(VLOOKUP(U29,許容応力!$B$6:$K$22,8)*1.1/3*1.3*100,0))</f>
        <v>#N/A</v>
      </c>
      <c r="V31" s="10" t="e">
        <f>IF(VALUE(RIGHT(断面算定!$G$3,4))=2,ROUND(VLOOKUP(V29,許容応力!$B$6:$K$22,8)*1.1/3*100,0),ROUND(VLOOKUP(V29,許容応力!$B$6:$K$22,8)*1.1/3*1.3*100,0))</f>
        <v>#N/A</v>
      </c>
      <c r="W31" s="10" t="e">
        <f>IF(VALUE(RIGHT(断面算定!$G$3,4))=2,ROUND(VLOOKUP(W29,許容応力!$B$6:$K$22,8)*1.1/3*100,0),ROUND(VLOOKUP(W29,許容応力!$B$6:$K$22,8)*1.1/3*1.3*100,0))</f>
        <v>#N/A</v>
      </c>
      <c r="X31" s="10" t="e">
        <f>IF(VALUE(RIGHT(断面算定!$G$3,4))=2,ROUND(VLOOKUP(X29,許容応力!$B$6:$K$22,8)*1.1/3*100,0),ROUND(VLOOKUP(X29,許容応力!$B$6:$K$22,8)*1.1/3*1.3*100,0))</f>
        <v>#N/A</v>
      </c>
      <c r="Y31" s="10" t="e">
        <f>IF(VALUE(RIGHT(断面算定!$G$3,4))=2,ROUND(VLOOKUP(Y29,許容応力!$B$6:$K$22,8)*1.1/3*100,0),ROUND(VLOOKUP(Y29,許容応力!$B$6:$K$22,8)*1.1/3*1.3*100,0))</f>
        <v>#N/A</v>
      </c>
      <c r="Z31" s="10" t="e">
        <f>IF(VALUE(RIGHT(断面算定!$G$3,4))=2,ROUND(VLOOKUP(Z29,許容応力!$B$6:$K$22,8)*1.1/3*100,0),ROUND(VLOOKUP(Z29,許容応力!$B$6:$K$22,8)*1.1/3*1.3*100,0))</f>
        <v>#N/A</v>
      </c>
    </row>
    <row r="32" spans="1:29" x14ac:dyDescent="0.15">
      <c r="A32" s="487"/>
      <c r="B32" s="1098"/>
      <c r="C32" s="1305"/>
      <c r="D32" s="1014" t="s">
        <v>1329</v>
      </c>
      <c r="E32" s="1043">
        <f>IF(E$28=0,0,P33)</f>
        <v>0</v>
      </c>
      <c r="F32" s="1003">
        <f t="shared" si="12"/>
        <v>0</v>
      </c>
      <c r="G32" s="1003">
        <f t="shared" si="12"/>
        <v>0</v>
      </c>
      <c r="H32" s="1003">
        <f t="shared" si="12"/>
        <v>0</v>
      </c>
      <c r="I32" s="1003">
        <f t="shared" si="12"/>
        <v>0</v>
      </c>
      <c r="J32" s="1042">
        <f t="shared" si="12"/>
        <v>0</v>
      </c>
      <c r="K32" s="1043">
        <f>IF(K$28=0,0,V33)</f>
        <v>0</v>
      </c>
      <c r="L32" s="1003">
        <f t="shared" si="13"/>
        <v>0</v>
      </c>
      <c r="M32" s="1003">
        <f t="shared" si="13"/>
        <v>0</v>
      </c>
      <c r="N32" s="1003">
        <f t="shared" si="13"/>
        <v>0</v>
      </c>
      <c r="O32" s="1042">
        <f t="shared" si="13"/>
        <v>0</v>
      </c>
      <c r="P32" s="10" t="e">
        <f>ROUND(VLOOKUP(P29,許容応力!$B$6:$K$22,10)*100,0)</f>
        <v>#N/A</v>
      </c>
      <c r="Q32" s="10" t="e">
        <f>ROUND(VLOOKUP(Q29,許容応力!$B$6:$K$22,10)*100,0)</f>
        <v>#N/A</v>
      </c>
      <c r="R32" s="10" t="e">
        <f>ROUND(VLOOKUP(R29,許容応力!$B$6:$K$22,10)*100,0)</f>
        <v>#N/A</v>
      </c>
      <c r="S32" s="10" t="e">
        <f>ROUND(VLOOKUP(S29,許容応力!$B$6:$K$22,10)*100,0)</f>
        <v>#N/A</v>
      </c>
      <c r="T32" s="10" t="e">
        <f>ROUND(VLOOKUP(T29,許容応力!$B$6:$K$22,10)*100,0)</f>
        <v>#N/A</v>
      </c>
      <c r="U32" s="10" t="e">
        <f>ROUND(VLOOKUP(U29,許容応力!$B$6:$K$22,10)*100,0)</f>
        <v>#N/A</v>
      </c>
      <c r="V32" s="10" t="e">
        <f>ROUND(VLOOKUP(V29,許容応力!$B$6:$K$22,10)*100,0)</f>
        <v>#N/A</v>
      </c>
      <c r="W32" s="10" t="e">
        <f>ROUND(VLOOKUP(W29,許容応力!$B$6:$K$22,10)*100,0)</f>
        <v>#N/A</v>
      </c>
      <c r="X32" s="10" t="e">
        <f>ROUND(VLOOKUP(X29,許容応力!$B$6:$K$22,10)*100,0)</f>
        <v>#N/A</v>
      </c>
      <c r="Y32" s="10" t="e">
        <f>ROUND(VLOOKUP(Y29,許容応力!$B$6:$K$22,10)*100,0)</f>
        <v>#N/A</v>
      </c>
      <c r="Z32" s="10" t="e">
        <f>ROUND(VLOOKUP(Z29,許容応力!$B$6:$K$22,10)*100,0)</f>
        <v>#N/A</v>
      </c>
    </row>
    <row r="33" spans="1:26" x14ac:dyDescent="0.15">
      <c r="A33" s="487"/>
      <c r="B33" s="1098"/>
      <c r="C33" s="1276"/>
      <c r="D33" s="1014" t="s">
        <v>1330</v>
      </c>
      <c r="E33" s="1043">
        <f>IF(E$28=0,0,P34)</f>
        <v>0</v>
      </c>
      <c r="F33" s="1003">
        <f t="shared" si="12"/>
        <v>0</v>
      </c>
      <c r="G33" s="1003">
        <f t="shared" si="12"/>
        <v>0</v>
      </c>
      <c r="H33" s="1003">
        <f t="shared" si="12"/>
        <v>0</v>
      </c>
      <c r="I33" s="1003">
        <f t="shared" si="12"/>
        <v>0</v>
      </c>
      <c r="J33" s="1042">
        <f t="shared" si="12"/>
        <v>0</v>
      </c>
      <c r="K33" s="1043">
        <f>IF(K$28=0,0,V34)</f>
        <v>0</v>
      </c>
      <c r="L33" s="1003">
        <f t="shared" si="13"/>
        <v>0</v>
      </c>
      <c r="M33" s="1003">
        <f t="shared" si="13"/>
        <v>0</v>
      </c>
      <c r="N33" s="1003">
        <f t="shared" si="13"/>
        <v>0</v>
      </c>
      <c r="O33" s="1042">
        <f t="shared" si="13"/>
        <v>0</v>
      </c>
      <c r="P33" s="10" t="e">
        <f>IF(VALUE(RIGHT(断面算定!$G$3,4))=2,ROUND(VLOOKUP(P29,許容応力!$B$6:$K$22,6)*1.1/3*100,0),ROUND(VLOOKUP(P29,許容応力!$B$6:$K$22,6)*1.1/3*1.3*100,0))</f>
        <v>#N/A</v>
      </c>
      <c r="Q33" s="10" t="e">
        <f>IF(VALUE(RIGHT(断面算定!$G$3,4))=2,ROUND(VLOOKUP(Q29,許容応力!$B$6:$K$22,6)*1.1/3*100,0),ROUND(VLOOKUP(Q29,許容応力!$B$6:$K$22,6)*1.1/3*1.3*100,0))</f>
        <v>#N/A</v>
      </c>
      <c r="R33" s="10" t="e">
        <f>IF(VALUE(RIGHT(断面算定!$G$3,4))=2,ROUND(VLOOKUP(R29,許容応力!$B$6:$K$22,6)*1.1/3*100,0),ROUND(VLOOKUP(R29,許容応力!$B$6:$K$22,6)*1.1/3*1.3*100,0))</f>
        <v>#N/A</v>
      </c>
      <c r="S33" s="10" t="e">
        <f>IF(VALUE(RIGHT(断面算定!$G$3,4))=2,ROUND(VLOOKUP(S29,許容応力!$B$6:$K$22,6)*1.1/3*100,0),ROUND(VLOOKUP(S29,許容応力!$B$6:$K$22,6)*1.1/3*1.3*100,0))</f>
        <v>#N/A</v>
      </c>
      <c r="T33" s="10" t="e">
        <f>IF(VALUE(RIGHT(断面算定!$G$3,4))=2,ROUND(VLOOKUP(T29,許容応力!$B$6:$K$22,6)*1.1/3*100,0),ROUND(VLOOKUP(T29,許容応力!$B$6:$K$22,6)*1.1/3*1.3*100,0))</f>
        <v>#N/A</v>
      </c>
      <c r="U33" s="10" t="e">
        <f>IF(VALUE(RIGHT(断面算定!$G$3,4))=2,ROUND(VLOOKUP(U29,許容応力!$B$6:$K$22,6)*1.1/3*100,0),ROUND(VLOOKUP(U29,許容応力!$B$6:$K$22,6)*1.1/3*1.3*100,0))</f>
        <v>#N/A</v>
      </c>
      <c r="V33" s="10" t="e">
        <f>IF(VALUE(RIGHT(断面算定!$G$3,4))=2,ROUND(VLOOKUP(V29,許容応力!$B$6:$K$22,6)*1.1/3*100,0),ROUND(VLOOKUP(V29,許容応力!$B$6:$K$22,6)*1.1/3*1.3*100,0))</f>
        <v>#N/A</v>
      </c>
      <c r="W33" s="10" t="e">
        <f>IF(VALUE(RIGHT(断面算定!$G$3,4))=2,ROUND(VLOOKUP(W29,許容応力!$B$6:$K$22,6)*1.1/3*100,0),ROUND(VLOOKUP(W29,許容応力!$B$6:$K$22,6)*1.1/3*1.3*100,0))</f>
        <v>#N/A</v>
      </c>
      <c r="X33" s="10" t="e">
        <f>IF(VALUE(RIGHT(断面算定!$G$3,4))=2,ROUND(VLOOKUP(X29,許容応力!$B$6:$K$22,6)*1.1/3*100,0),ROUND(VLOOKUP(X29,許容応力!$B$6:$K$22,6)*1.1/3*1.3*100,0))</f>
        <v>#N/A</v>
      </c>
      <c r="Y33" s="10" t="e">
        <f>IF(VALUE(RIGHT(断面算定!$G$3,4))=2,ROUND(VLOOKUP(Y29,許容応力!$B$6:$K$22,6)*1.1/3*100,0),ROUND(VLOOKUP(Y29,許容応力!$B$6:$K$22,6)*1.1/3*1.3*100,0))</f>
        <v>#N/A</v>
      </c>
      <c r="Z33" s="10" t="e">
        <f>IF(VALUE(RIGHT(断面算定!$G$3,4))=2,ROUND(VLOOKUP(Z29,許容応力!$B$6:$K$22,6)*1.1/3*100,0),ROUND(VLOOKUP(Z29,許容応力!$B$6:$K$22,6)*1.1/3*1.3*100,0))</f>
        <v>#N/A</v>
      </c>
    </row>
    <row r="34" spans="1:26" x14ac:dyDescent="0.15">
      <c r="A34" s="487"/>
      <c r="B34" s="1098"/>
      <c r="C34" s="988" t="s">
        <v>1524</v>
      </c>
      <c r="D34" s="984" t="s">
        <v>1336</v>
      </c>
      <c r="E34" s="1051">
        <f>+断面算定!I8</f>
        <v>0</v>
      </c>
      <c r="F34" s="1004">
        <f>+断面算定!I10</f>
        <v>0</v>
      </c>
      <c r="G34" s="1004">
        <f>+断面算定!I12</f>
        <v>0</v>
      </c>
      <c r="H34" s="1004">
        <f>+断面算定!I14</f>
        <v>0</v>
      </c>
      <c r="I34" s="1004">
        <f>+断面算定!I16</f>
        <v>0</v>
      </c>
      <c r="J34" s="1050">
        <f>+断面算定!I18</f>
        <v>0</v>
      </c>
      <c r="K34" s="1051">
        <f>+断面算定!$I30</f>
        <v>0</v>
      </c>
      <c r="L34" s="1004">
        <f>+断面算定!$I32</f>
        <v>0</v>
      </c>
      <c r="M34" s="1004">
        <f>+断面算定!$I34</f>
        <v>0</v>
      </c>
      <c r="N34" s="1004">
        <f>+断面算定!$I36</f>
        <v>0</v>
      </c>
      <c r="O34" s="1050">
        <f>+断面算定!$I38</f>
        <v>0</v>
      </c>
      <c r="P34" s="10" t="e">
        <f>IF(VALUE(RIGHT(断面算定!$G$3,4))=2,ROUND(VLOOKUP(P29,許容応力!$B$6:$K$22,5)*1.1/3*100,0),ROUND(VLOOKUP(P29,許容応力!$B$6:$K$22,5)*1.1/3*1.3*100,0))</f>
        <v>#N/A</v>
      </c>
      <c r="Q34" s="10" t="e">
        <f>IF(VALUE(RIGHT(断面算定!$G$3,4))=2,ROUND(VLOOKUP(Q29,許容応力!$B$6:$K$22,5)*1.1/3*100,0),ROUND(VLOOKUP(Q29,許容応力!$B$6:$K$22,5)*1.1/3*1.3*100,0))</f>
        <v>#N/A</v>
      </c>
      <c r="R34" s="10" t="e">
        <f>IF(VALUE(RIGHT(断面算定!$G$3,4))=2,ROUND(VLOOKUP(R29,許容応力!$B$6:$K$22,5)*1.1/3*100,0),ROUND(VLOOKUP(R29,許容応力!$B$6:$K$22,5)*1.1/3*1.3*100,0))</f>
        <v>#N/A</v>
      </c>
      <c r="S34" s="10" t="e">
        <f>IF(VALUE(RIGHT(断面算定!$G$3,4))=2,ROUND(VLOOKUP(S29,許容応力!$B$6:$K$22,5)*1.1/3*100,0),ROUND(VLOOKUP(S29,許容応力!$B$6:$K$22,5)*1.1/3*1.3*100,0))</f>
        <v>#N/A</v>
      </c>
      <c r="T34" s="10" t="e">
        <f>IF(VALUE(RIGHT(断面算定!$G$3,4))=2,ROUND(VLOOKUP(T29,許容応力!$B$6:$K$22,5)*1.1/3*100,0),ROUND(VLOOKUP(T29,許容応力!$B$6:$K$22,5)*1.1/3*1.3*100,0))</f>
        <v>#N/A</v>
      </c>
      <c r="U34" s="10" t="e">
        <f>IF(VALUE(RIGHT(断面算定!$G$3,4))=2,ROUND(VLOOKUP(U29,許容応力!$B$6:$K$22,5)*1.1/3*100,0),ROUND(VLOOKUP(U29,許容応力!$B$6:$K$22,5)*1.1/3*1.3*100,0))</f>
        <v>#N/A</v>
      </c>
      <c r="V34" s="10" t="e">
        <f>IF(VALUE(RIGHT(断面算定!$G$3,4))=2,ROUND(VLOOKUP(V29,許容応力!$B$6:$K$22,5)*1.1/3*100,0),ROUND(VLOOKUP(V29,許容応力!$B$6:$K$22,5)*1.1/3*1.3*100,0))</f>
        <v>#N/A</v>
      </c>
      <c r="W34" s="10" t="e">
        <f>IF(VALUE(RIGHT(断面算定!$G$3,4))=2,ROUND(VLOOKUP(W29,許容応力!$B$6:$K$22,5)*1.1/3*100,0),ROUND(VLOOKUP(W29,許容応力!$B$6:$K$22,5)*1.1/3*1.3*100,0))</f>
        <v>#N/A</v>
      </c>
      <c r="X34" s="10" t="e">
        <f>IF(VALUE(RIGHT(断面算定!$G$3,4))=2,ROUND(VLOOKUP(X29,許容応力!$B$6:$K$22,5)*1.1/3*100,0),ROUND(VLOOKUP(X29,許容応力!$B$6:$K$22,5)*1.1/3*1.3*100,0))</f>
        <v>#N/A</v>
      </c>
      <c r="Y34" s="10" t="e">
        <f>IF(VALUE(RIGHT(断面算定!$G$3,4))=2,ROUND(VLOOKUP(Y29,許容応力!$B$6:$K$22,5)*1.1/3*100,0),ROUND(VLOOKUP(Y29,許容応力!$B$6:$K$22,5)*1.1/3*1.3*100,0))</f>
        <v>#N/A</v>
      </c>
      <c r="Z34" s="10" t="e">
        <f>IF(VALUE(RIGHT(断面算定!$G$3,4))=2,ROUND(VLOOKUP(Z29,許容応力!$B$6:$K$22,5)*1.1/3*100,0),ROUND(VLOOKUP(Z29,許容応力!$B$6:$K$22,5)*1.1/3*1.3*100,0))</f>
        <v>#N/A</v>
      </c>
    </row>
    <row r="35" spans="1:26" x14ac:dyDescent="0.15">
      <c r="A35" s="487"/>
      <c r="B35" s="1098"/>
      <c r="C35" s="1721" t="s">
        <v>1337</v>
      </c>
      <c r="D35" s="984" t="s">
        <v>1331</v>
      </c>
      <c r="E35" s="1052">
        <f>+断面算定!K8/10</f>
        <v>0</v>
      </c>
      <c r="F35" s="1001">
        <f>+断面算定!K10</f>
        <v>0</v>
      </c>
      <c r="G35" s="1081">
        <f>+断面算定!K12</f>
        <v>0</v>
      </c>
      <c r="H35" s="1081">
        <f>+断面算定!K14</f>
        <v>0</v>
      </c>
      <c r="I35" s="1081">
        <f>+断面算定!K16</f>
        <v>0</v>
      </c>
      <c r="J35" s="1082">
        <f>+断面算定!K18</f>
        <v>0</v>
      </c>
      <c r="K35" s="1083">
        <f>+断面算定!$K30/10</f>
        <v>0</v>
      </c>
      <c r="L35" s="1081">
        <f>+断面算定!$K32/10</f>
        <v>0</v>
      </c>
      <c r="M35" s="1081">
        <f>+断面算定!$K34/10</f>
        <v>0</v>
      </c>
      <c r="N35" s="1081">
        <f>+断面算定!$K36/10</f>
        <v>0</v>
      </c>
      <c r="O35" s="1082">
        <f>+断面算定!$K38/10</f>
        <v>0</v>
      </c>
      <c r="P35" s="7"/>
      <c r="Q35" s="7"/>
      <c r="R35" s="7"/>
      <c r="S35" s="30"/>
      <c r="T35" s="30"/>
      <c r="U35" s="30"/>
      <c r="V35" s="30"/>
      <c r="W35" s="30"/>
      <c r="X35" s="30"/>
    </row>
    <row r="36" spans="1:26" x14ac:dyDescent="0.15">
      <c r="A36" s="487"/>
      <c r="B36" s="1098"/>
      <c r="C36" s="1306"/>
      <c r="D36" s="984" t="s">
        <v>1525</v>
      </c>
      <c r="E36" s="1110">
        <v>24</v>
      </c>
      <c r="F36" s="926"/>
      <c r="G36" s="930"/>
      <c r="H36" s="930"/>
      <c r="I36" s="930"/>
      <c r="J36" s="1044"/>
      <c r="K36" s="1045">
        <v>24</v>
      </c>
      <c r="L36" s="930"/>
      <c r="M36" s="930"/>
      <c r="N36" s="930"/>
      <c r="O36" s="1044"/>
      <c r="P36" s="15"/>
      <c r="Q36" s="15"/>
      <c r="R36" s="15"/>
      <c r="S36" s="30"/>
      <c r="T36" s="30"/>
      <c r="U36" s="30"/>
      <c r="V36" s="30"/>
      <c r="W36" s="30"/>
      <c r="X36" s="30"/>
    </row>
    <row r="37" spans="1:26" x14ac:dyDescent="0.15">
      <c r="A37" s="487"/>
      <c r="B37" s="1098"/>
      <c r="C37" s="1722"/>
      <c r="D37" s="984" t="s">
        <v>1526</v>
      </c>
      <c r="E37" s="1110">
        <v>12</v>
      </c>
      <c r="F37" s="926"/>
      <c r="G37" s="930"/>
      <c r="H37" s="930"/>
      <c r="I37" s="930"/>
      <c r="J37" s="1044"/>
      <c r="K37" s="1045">
        <v>12</v>
      </c>
      <c r="L37" s="930"/>
      <c r="M37" s="930"/>
      <c r="N37" s="930"/>
      <c r="O37" s="1044"/>
      <c r="P37" s="15"/>
      <c r="Q37" s="15"/>
      <c r="R37" s="15"/>
      <c r="S37" s="30"/>
      <c r="T37" s="30"/>
      <c r="U37" s="30"/>
      <c r="V37" s="30"/>
      <c r="W37" s="30"/>
      <c r="X37" s="30"/>
    </row>
    <row r="38" spans="1:26" x14ac:dyDescent="0.15">
      <c r="A38" s="487"/>
      <c r="B38" s="1098"/>
      <c r="C38" s="1297"/>
      <c r="D38" s="984" t="s">
        <v>1527</v>
      </c>
      <c r="E38" s="1110"/>
      <c r="F38" s="926"/>
      <c r="G38" s="930"/>
      <c r="H38" s="930"/>
      <c r="I38" s="930"/>
      <c r="J38" s="1044"/>
      <c r="K38" s="1045"/>
      <c r="L38" s="930"/>
      <c r="M38" s="930"/>
      <c r="N38" s="930"/>
      <c r="O38" s="1044"/>
      <c r="P38" s="15"/>
      <c r="Q38" s="15"/>
      <c r="R38" s="15"/>
      <c r="S38" s="30"/>
      <c r="T38" s="30"/>
      <c r="U38" s="30"/>
      <c r="V38" s="30"/>
      <c r="W38" s="30"/>
      <c r="X38" s="30"/>
    </row>
    <row r="39" spans="1:26" x14ac:dyDescent="0.15">
      <c r="A39" s="487"/>
      <c r="B39" s="1098"/>
      <c r="C39" s="994" t="s">
        <v>1338</v>
      </c>
      <c r="D39" s="1106"/>
      <c r="E39" s="1047" t="s">
        <v>1339</v>
      </c>
      <c r="F39" s="931" t="s">
        <v>853</v>
      </c>
      <c r="G39" s="931" t="s">
        <v>853</v>
      </c>
      <c r="H39" s="931" t="s">
        <v>853</v>
      </c>
      <c r="I39" s="931" t="s">
        <v>853</v>
      </c>
      <c r="J39" s="1046" t="s">
        <v>853</v>
      </c>
      <c r="K39" s="1047" t="s">
        <v>1339</v>
      </c>
      <c r="L39" s="931" t="s">
        <v>853</v>
      </c>
      <c r="M39" s="931" t="s">
        <v>853</v>
      </c>
      <c r="N39" s="931" t="s">
        <v>853</v>
      </c>
      <c r="O39" s="1046" t="s">
        <v>853</v>
      </c>
      <c r="P39" s="15"/>
      <c r="Q39" s="15"/>
      <c r="R39" s="15"/>
      <c r="S39" s="30"/>
      <c r="T39" s="30"/>
      <c r="U39" s="30"/>
      <c r="V39" s="30"/>
      <c r="W39" s="30"/>
      <c r="X39" s="30"/>
    </row>
    <row r="40" spans="1:26" x14ac:dyDescent="0.15">
      <c r="A40" s="487"/>
      <c r="B40" s="1098"/>
      <c r="C40" s="1721" t="s">
        <v>1528</v>
      </c>
      <c r="D40" s="984" t="s">
        <v>1340</v>
      </c>
      <c r="E40" s="1049">
        <f>ROUNDUP(E35*+POWER((E36+E37+E38),3)/12,0)</f>
        <v>0</v>
      </c>
      <c r="F40" s="997">
        <f t="shared" ref="F40:K40" si="15">ROUNDUP(F35*+POWER((F36+F37+F38),3)/12,0)</f>
        <v>0</v>
      </c>
      <c r="G40" s="997">
        <f t="shared" si="15"/>
        <v>0</v>
      </c>
      <c r="H40" s="997">
        <f t="shared" si="15"/>
        <v>0</v>
      </c>
      <c r="I40" s="997">
        <f t="shared" si="15"/>
        <v>0</v>
      </c>
      <c r="J40" s="1048">
        <f t="shared" si="15"/>
        <v>0</v>
      </c>
      <c r="K40" s="1049">
        <f t="shared" si="15"/>
        <v>0</v>
      </c>
      <c r="L40" s="997">
        <f>ROUNDUP(L35*+POWER(L36*L456,3)/12,0)</f>
        <v>0</v>
      </c>
      <c r="M40" s="997">
        <f>ROUNDUP(M35*+POWER(M36*M456,3)/12,0)</f>
        <v>0</v>
      </c>
      <c r="N40" s="997">
        <f>ROUNDUP(N35*+POWER(N36*N456,3)/12,0)</f>
        <v>0</v>
      </c>
      <c r="O40" s="1048">
        <f>ROUNDUP(O35*+POWER(O36*O456,3)/12,0)</f>
        <v>0</v>
      </c>
      <c r="P40" s="924"/>
      <c r="Q40" s="924"/>
      <c r="R40" s="924"/>
      <c r="S40" s="30"/>
      <c r="T40" s="30"/>
      <c r="U40" s="30"/>
      <c r="V40" s="30"/>
      <c r="W40" s="30"/>
      <c r="X40" s="30"/>
    </row>
    <row r="41" spans="1:26" x14ac:dyDescent="0.15">
      <c r="A41" s="487"/>
      <c r="B41" s="1098"/>
      <c r="C41" s="1722"/>
      <c r="D41" s="984" t="s">
        <v>1341</v>
      </c>
      <c r="E41" s="1049">
        <f t="shared" ref="E41:O41" si="16">ROUNDUP(E40*E457,0)</f>
        <v>0</v>
      </c>
      <c r="F41" s="997">
        <f t="shared" si="16"/>
        <v>0</v>
      </c>
      <c r="G41" s="997">
        <f t="shared" si="16"/>
        <v>0</v>
      </c>
      <c r="H41" s="997">
        <f t="shared" si="16"/>
        <v>0</v>
      </c>
      <c r="I41" s="997">
        <f t="shared" si="16"/>
        <v>0</v>
      </c>
      <c r="J41" s="1048">
        <f t="shared" si="16"/>
        <v>0</v>
      </c>
      <c r="K41" s="1049">
        <f t="shared" si="16"/>
        <v>0</v>
      </c>
      <c r="L41" s="997">
        <f t="shared" si="16"/>
        <v>0</v>
      </c>
      <c r="M41" s="997">
        <f t="shared" si="16"/>
        <v>0</v>
      </c>
      <c r="N41" s="997">
        <f t="shared" si="16"/>
        <v>0</v>
      </c>
      <c r="O41" s="1048">
        <f t="shared" si="16"/>
        <v>0</v>
      </c>
      <c r="P41" s="401"/>
      <c r="Q41" s="401"/>
      <c r="R41" s="401"/>
      <c r="S41" s="30"/>
      <c r="T41" s="30"/>
      <c r="U41" s="30"/>
      <c r="V41" s="30"/>
      <c r="W41" s="30"/>
      <c r="X41" s="30"/>
    </row>
    <row r="42" spans="1:26" x14ac:dyDescent="0.15">
      <c r="A42" s="487"/>
      <c r="B42" s="1098"/>
      <c r="C42" s="1722"/>
      <c r="D42" s="984" t="s">
        <v>1343</v>
      </c>
      <c r="E42" s="1065">
        <f>ROUNDUP(E35*+POWER((E36+E37+E38),2)/6,0)</f>
        <v>0</v>
      </c>
      <c r="F42" s="1005">
        <f t="shared" ref="F42:J42" si="17">ROUNDUP(F35*+POWER((F36+F37+F38),2)/6,0)</f>
        <v>0</v>
      </c>
      <c r="G42" s="1005">
        <f t="shared" si="17"/>
        <v>0</v>
      </c>
      <c r="H42" s="1005">
        <f t="shared" si="17"/>
        <v>0</v>
      </c>
      <c r="I42" s="1005">
        <f t="shared" si="17"/>
        <v>0</v>
      </c>
      <c r="J42" s="1053">
        <f t="shared" si="17"/>
        <v>0</v>
      </c>
      <c r="K42" s="1065">
        <f t="shared" ref="K42" si="18">ROUNDUP(K35*+POWER((K36+K37+K38),2)/6,0)</f>
        <v>0</v>
      </c>
      <c r="L42" s="1005">
        <f t="shared" ref="L42:O42" si="19">ROUNDUP(L35*+POWER((L36+L37+L38),2)/6,0)</f>
        <v>0</v>
      </c>
      <c r="M42" s="1005">
        <f t="shared" si="19"/>
        <v>0</v>
      </c>
      <c r="N42" s="1005">
        <f t="shared" si="19"/>
        <v>0</v>
      </c>
      <c r="O42" s="1053">
        <f t="shared" si="19"/>
        <v>0</v>
      </c>
      <c r="P42" s="401"/>
      <c r="Q42" s="401"/>
      <c r="R42" s="401"/>
      <c r="S42" s="30"/>
      <c r="T42" s="30"/>
      <c r="U42" s="30"/>
      <c r="V42" s="30"/>
      <c r="W42" s="30"/>
      <c r="X42" s="30"/>
    </row>
    <row r="43" spans="1:26" x14ac:dyDescent="0.15">
      <c r="A43" s="487"/>
      <c r="B43" s="1098"/>
      <c r="C43" s="1722"/>
      <c r="D43" s="984" t="s">
        <v>1344</v>
      </c>
      <c r="E43" s="1065">
        <f t="shared" ref="E43:K43" si="20">ROUNDUP(E42*E458,0)</f>
        <v>0</v>
      </c>
      <c r="F43" s="1005">
        <f t="shared" si="20"/>
        <v>0</v>
      </c>
      <c r="G43" s="1005">
        <f t="shared" si="20"/>
        <v>0</v>
      </c>
      <c r="H43" s="1005">
        <f t="shared" si="20"/>
        <v>0</v>
      </c>
      <c r="I43" s="1005">
        <f t="shared" si="20"/>
        <v>0</v>
      </c>
      <c r="J43" s="1053">
        <f t="shared" si="20"/>
        <v>0</v>
      </c>
      <c r="K43" s="1065">
        <f t="shared" si="20"/>
        <v>0</v>
      </c>
      <c r="L43" s="1005">
        <f t="shared" ref="L43" si="21">ROUNDUP(L42*L458,0)</f>
        <v>0</v>
      </c>
      <c r="M43" s="1005">
        <f t="shared" ref="M43" si="22">ROUNDUP(M42*M458,0)</f>
        <v>0</v>
      </c>
      <c r="N43" s="1005">
        <f t="shared" ref="N43" si="23">ROUNDUP(N42*N458,0)</f>
        <v>0</v>
      </c>
      <c r="O43" s="1053">
        <f t="shared" ref="O43" si="24">ROUNDUP(O42*O458,0)</f>
        <v>0</v>
      </c>
      <c r="P43" s="401"/>
      <c r="Q43" s="401"/>
      <c r="R43" s="401"/>
      <c r="S43" s="30"/>
      <c r="T43" s="30"/>
      <c r="U43" s="30"/>
      <c r="V43" s="30"/>
      <c r="W43" s="30"/>
      <c r="X43" s="30"/>
    </row>
    <row r="44" spans="1:26" x14ac:dyDescent="0.15">
      <c r="A44" s="487"/>
      <c r="B44" s="1098"/>
      <c r="C44" s="1722"/>
      <c r="D44" s="984" t="s">
        <v>1345</v>
      </c>
      <c r="E44" s="1049">
        <f>IF(E42=0,0,+ROUNDUP(IF(断面算定!$CZ$8&gt;=断面算定!$DC$8,断面算定!$CZ$8,断面算定!$DC$8)*断面算定!$DF8/E43,1))</f>
        <v>0</v>
      </c>
      <c r="F44" s="997">
        <f>IF(F42=0,0,+ROUNDUP(IF(断面算定!$CZ$10&gt;=断面算定!$DC$10,断面算定!$CZ$10,断面算定!$DC$10)*断面算定!$DF10/F43,1))</f>
        <v>0</v>
      </c>
      <c r="G44" s="997">
        <f>IF(G42=0,0,+ROUNDUP(IF(断面算定!$CZ$12&gt;=断面算定!$DC$12,断面算定!$CZ$12,断面算定!$DC$12)*断面算定!$DF12/G43,1))</f>
        <v>0</v>
      </c>
      <c r="H44" s="997">
        <f>IF(H42=0,0,+ROUNDUP(IF(断面算定!$CZ$14&gt;=断面算定!$DC$14,断面算定!$CZ$14,断面算定!$DC$14)*断面算定!$DF14/H43,1))</f>
        <v>0</v>
      </c>
      <c r="I44" s="997">
        <f>IF(I42=0,0,+ROUNDUP(IF(断面算定!$CZ$16&gt;=断面算定!$DC$16,断面算定!$CZ$16,断面算定!$DC$16)*断面算定!$DF16/I43,1))</f>
        <v>0</v>
      </c>
      <c r="J44" s="1048">
        <f>IF(J42=0,0,+ROUNDUP(IF(断面算定!$CZ$18&gt;=断面算定!$DC$18,断面算定!$CZ$18,断面算定!$DC$18)*断面算定!$DF18/J43,1))</f>
        <v>0</v>
      </c>
      <c r="K44" s="1049">
        <f>IF(K42=0,0,+ROUNDUP(IF(断面算定!$CZ$30&gt;=断面算定!$DC$30,断面算定!$CZ$30,断面算定!$DC$30)*断面算定!$DF30/K43,1))</f>
        <v>0</v>
      </c>
      <c r="L44" s="997">
        <f>IF(L42=0,0,+ROUNDUP(IF(断面算定!$CZ$32&gt;=断面算定!$DC$32,断面算定!$CZ$32,断面算定!$DC$32)*断面算定!$DF32/L43,1))</f>
        <v>0</v>
      </c>
      <c r="M44" s="997">
        <f>IF(M42=0,0,+ROUNDUP(IF(断面算定!$CZ$34&gt;=断面算定!$DC$34,断面算定!$CZ$34,断面算定!$DC$34)*断面算定!$DF34/M43,1))</f>
        <v>0</v>
      </c>
      <c r="N44" s="997">
        <f>IF(N42=0,0,+ROUNDUP(IF(断面算定!$CZ$36&gt;=断面算定!$DC$36,断面算定!$CZ$36,断面算定!$DC$36)*断面算定!$DF36/N43,1))</f>
        <v>0</v>
      </c>
      <c r="O44" s="1048">
        <f>IF(O42=0,0,+ROUNDUP(IF(断面算定!$CZ$38&gt;=断面算定!$DC$38,断面算定!$CZ$38,断面算定!$DC$38)*断面算定!$DF38/O43,1))</f>
        <v>0</v>
      </c>
      <c r="P44" s="401"/>
      <c r="Q44" s="401"/>
      <c r="R44" s="401"/>
      <c r="S44" s="30"/>
      <c r="T44" s="30"/>
      <c r="U44" s="30"/>
      <c r="V44" s="30"/>
      <c r="W44" s="30"/>
      <c r="X44" s="30"/>
    </row>
    <row r="45" spans="1:26" x14ac:dyDescent="0.15">
      <c r="A45" s="487"/>
      <c r="B45" s="1098"/>
      <c r="C45" s="1722"/>
      <c r="D45" s="1078" t="s">
        <v>194</v>
      </c>
      <c r="E45" s="1051">
        <f>IF(E44=0,0,+ROUND(E44/E29,2))</f>
        <v>0</v>
      </c>
      <c r="F45" s="1004">
        <f t="shared" ref="F45:J45" si="25">IF(F44=0,0,+ROUND(F44/F29,2))</f>
        <v>0</v>
      </c>
      <c r="G45" s="1004">
        <f t="shared" si="25"/>
        <v>0</v>
      </c>
      <c r="H45" s="1004">
        <f t="shared" si="25"/>
        <v>0</v>
      </c>
      <c r="I45" s="1004">
        <f t="shared" si="25"/>
        <v>0</v>
      </c>
      <c r="J45" s="1050">
        <f t="shared" si="25"/>
        <v>0</v>
      </c>
      <c r="K45" s="1051">
        <f t="shared" ref="K45" si="26">IF(K44=0,0,+ROUND(K44/K29,2))</f>
        <v>0</v>
      </c>
      <c r="L45" s="1004">
        <f t="shared" ref="L45:O45" si="27">IF(L44=0,0,+ROUND(L44/L29,2))</f>
        <v>0</v>
      </c>
      <c r="M45" s="1004">
        <f t="shared" si="27"/>
        <v>0</v>
      </c>
      <c r="N45" s="1004">
        <f t="shared" si="27"/>
        <v>0</v>
      </c>
      <c r="O45" s="1050">
        <f t="shared" si="27"/>
        <v>0</v>
      </c>
      <c r="P45" s="401"/>
      <c r="Q45" s="401"/>
      <c r="R45" s="401"/>
      <c r="S45" s="30"/>
      <c r="T45" s="30"/>
      <c r="U45" s="30"/>
      <c r="V45" s="30"/>
      <c r="W45" s="30"/>
      <c r="X45" s="30"/>
    </row>
    <row r="46" spans="1:26" x14ac:dyDescent="0.15">
      <c r="A46" s="487"/>
      <c r="B46" s="1098"/>
      <c r="C46" s="1297"/>
      <c r="D46" s="1107" t="s">
        <v>165</v>
      </c>
      <c r="E46" s="1066">
        <f>IF(E45=0,0,IF(E45&lt;=1,"OK!","NO!"))</f>
        <v>0</v>
      </c>
      <c r="F46" s="990">
        <f t="shared" ref="F46:J46" si="28">IF(F45=0,0,IF(F45&lt;=1,"OK!","NO!"))</f>
        <v>0</v>
      </c>
      <c r="G46" s="990">
        <f t="shared" si="28"/>
        <v>0</v>
      </c>
      <c r="H46" s="990">
        <f t="shared" si="28"/>
        <v>0</v>
      </c>
      <c r="I46" s="990">
        <f t="shared" si="28"/>
        <v>0</v>
      </c>
      <c r="J46" s="1054">
        <f t="shared" si="28"/>
        <v>0</v>
      </c>
      <c r="K46" s="1066">
        <f t="shared" ref="K46:O46" si="29">IF(K45=0,0,IF(K45&lt;=1,"OK!","NO!"))</f>
        <v>0</v>
      </c>
      <c r="L46" s="990">
        <f t="shared" si="29"/>
        <v>0</v>
      </c>
      <c r="M46" s="990">
        <f t="shared" si="29"/>
        <v>0</v>
      </c>
      <c r="N46" s="990">
        <f t="shared" si="29"/>
        <v>0</v>
      </c>
      <c r="O46" s="1054">
        <f t="shared" si="29"/>
        <v>0</v>
      </c>
      <c r="P46" s="401"/>
      <c r="Q46" s="401"/>
      <c r="R46" s="401"/>
      <c r="S46" s="30"/>
      <c r="T46" s="30"/>
      <c r="U46" s="30"/>
      <c r="V46" s="30"/>
      <c r="W46" s="30"/>
      <c r="X46" s="30"/>
    </row>
    <row r="47" spans="1:26" x14ac:dyDescent="0.15">
      <c r="A47" s="487"/>
      <c r="B47" s="1098"/>
      <c r="C47" s="1056" t="s">
        <v>1530</v>
      </c>
      <c r="D47" s="1108" t="s">
        <v>1529</v>
      </c>
      <c r="E47" s="1051">
        <f>IF(E28=0,0,ROUNDUP(IF(断面算定!$DA$8&gt;=断面算定!$DD$8,断面算定!$DA$8,断面算定!$DD$8)*断面算定!$DG$8/E41,2))</f>
        <v>0</v>
      </c>
      <c r="F47" s="1004">
        <f>IF(F28=0,0,ROUNDUP(IF(断面算定!$DA$10&gt;=断面算定!$DD$10,断面算定!$DA$10,断面算定!$DD$10)*断面算定!$DG$10/F41,2))</f>
        <v>0</v>
      </c>
      <c r="G47" s="1004">
        <f>IF(G28=0,0,ROUNDUP(IF(断面算定!$DA$12&gt;=断面算定!$DD$12,断面算定!$DA$12,断面算定!$DD$12)*断面算定!$DG$12/G41,2))</f>
        <v>0</v>
      </c>
      <c r="H47" s="1004">
        <f>IF(H28=0,0,ROUNDUP(IF(断面算定!$DA$14&gt;=断面算定!$DD$14,断面算定!$DA$14,断面算定!$DD$14)*断面算定!$DG$14/H41,2))</f>
        <v>0</v>
      </c>
      <c r="I47" s="1004">
        <f>IF(I28=0,0,ROUNDUP(IF(断面算定!$DA$16&gt;=断面算定!$DD$16,断面算定!$DA$16,断面算定!$DD$16)*断面算定!$DG$16/I41,2))</f>
        <v>0</v>
      </c>
      <c r="J47" s="1050">
        <f>IF(J28=0,0,ROUNDUP(IF(断面算定!$DA$18&gt;=断面算定!$DD$18,断面算定!$DA$18,断面算定!$DD$18)*断面算定!$DG$18/J41,2))</f>
        <v>0</v>
      </c>
      <c r="K47" s="1051">
        <f>IF(K28=0,0,ROUNDUP(IF(断面算定!$DA$30&gt;=断面算定!$DD$30,断面算定!$DA$30,断面算定!$DD$30)*断面算定!$DG$30/K41,2))</f>
        <v>0</v>
      </c>
      <c r="L47" s="1004">
        <f>IF(L28=0,0,ROUNDUP(IF(断面算定!$DA$32&gt;=断面算定!$DD$32,断面算定!$DA$32,断面算定!$DD$32)*断面算定!$DG$32/L41,2))</f>
        <v>0</v>
      </c>
      <c r="M47" s="1004">
        <f>IF(M28=0,0,ROUNDUP(IF(断面算定!$DA$34&gt;=断面算定!$DD$34,断面算定!$DA$34,断面算定!$DD$34)*断面算定!$DG$34/M41,2))</f>
        <v>0</v>
      </c>
      <c r="N47" s="1004">
        <f>IF(N28=0,0,ROUNDUP(IF(断面算定!$DA$36&gt;=断面算定!$DD$36,断面算定!$DA$36,断面算定!$DD$36)*断面算定!$DG$36/N41,2))</f>
        <v>0</v>
      </c>
      <c r="O47" s="1050">
        <f>IF(O28=0,0,ROUNDUP(IF(断面算定!$DA$38&gt;=断面算定!$DD$38,断面算定!$DA$38,断面算定!$DD$38)*断面算定!$DG$38/O41,2))</f>
        <v>0</v>
      </c>
      <c r="P47" s="401"/>
      <c r="Q47" s="401"/>
      <c r="R47" s="401"/>
      <c r="S47" s="30"/>
      <c r="T47" s="30"/>
      <c r="U47" s="30"/>
      <c r="V47" s="30"/>
      <c r="W47" s="30"/>
      <c r="X47" s="30"/>
    </row>
    <row r="48" spans="1:26" x14ac:dyDescent="0.15">
      <c r="A48" s="487"/>
      <c r="B48" s="1098"/>
      <c r="C48" s="988" t="s">
        <v>1321</v>
      </c>
      <c r="D48" s="984" t="s">
        <v>1342</v>
      </c>
      <c r="E48" s="1052">
        <f>IF(E28=0,0,断面算定!$DO8)</f>
        <v>0</v>
      </c>
      <c r="F48" s="1001">
        <f>IF(F28=0,0,断面算定!$DO10)</f>
        <v>0</v>
      </c>
      <c r="G48" s="1001">
        <f>IF(G28=0,0,断面算定!$DO12)</f>
        <v>0</v>
      </c>
      <c r="H48" s="1001">
        <f>IF(H28=0,0,断面算定!$DO14)</f>
        <v>0</v>
      </c>
      <c r="I48" s="1001">
        <f>IF(I28=0,0,断面算定!$DO16)</f>
        <v>0</v>
      </c>
      <c r="J48" s="1076">
        <f>IF(J28=0,0,断面算定!$DO18)</f>
        <v>0</v>
      </c>
      <c r="K48" s="1052">
        <f>IF(K28=0,0,断面算定!$DO30)</f>
        <v>0</v>
      </c>
      <c r="L48" s="1001">
        <f>IF(L28=0,0,断面算定!$DO32)</f>
        <v>0</v>
      </c>
      <c r="M48" s="1001">
        <f>IF(M28=0,0,断面算定!$DO34)</f>
        <v>0</v>
      </c>
      <c r="N48" s="1001">
        <f>IF(N28=0,0,断面算定!$DO36)</f>
        <v>0</v>
      </c>
      <c r="O48" s="1076">
        <f>IF(O28=0,0,断面算定!$DO38)</f>
        <v>0</v>
      </c>
      <c r="P48" s="401"/>
      <c r="Q48" s="401"/>
      <c r="R48" s="401"/>
      <c r="S48" s="30"/>
      <c r="T48" s="30"/>
      <c r="U48" s="30"/>
      <c r="V48" s="30"/>
      <c r="W48" s="30"/>
      <c r="X48" s="30"/>
    </row>
    <row r="49" spans="1:26" ht="15" thickBot="1" x14ac:dyDescent="0.2">
      <c r="A49" s="487"/>
      <c r="B49" s="1099"/>
      <c r="C49" s="1100" t="s">
        <v>165</v>
      </c>
      <c r="D49" s="1109"/>
      <c r="E49" s="1103">
        <f>IF(E28=0,0,IF(E47&lt;=2,"OK!","NO!"))</f>
        <v>0</v>
      </c>
      <c r="F49" s="1101">
        <f t="shared" ref="F49:O49" si="30">IF(F28=0,0,IF(F47&lt;=2,"OK!","NO!"))</f>
        <v>0</v>
      </c>
      <c r="G49" s="1101">
        <f t="shared" si="30"/>
        <v>0</v>
      </c>
      <c r="H49" s="1101">
        <f t="shared" si="30"/>
        <v>0</v>
      </c>
      <c r="I49" s="1101">
        <f t="shared" si="30"/>
        <v>0</v>
      </c>
      <c r="J49" s="1102">
        <f t="shared" si="30"/>
        <v>0</v>
      </c>
      <c r="K49" s="1103">
        <f t="shared" si="30"/>
        <v>0</v>
      </c>
      <c r="L49" s="1101">
        <f t="shared" si="30"/>
        <v>0</v>
      </c>
      <c r="M49" s="1101">
        <f t="shared" si="30"/>
        <v>0</v>
      </c>
      <c r="N49" s="1101">
        <f t="shared" si="30"/>
        <v>0</v>
      </c>
      <c r="O49" s="1102">
        <f t="shared" si="30"/>
        <v>0</v>
      </c>
      <c r="P49" s="401"/>
      <c r="Q49" s="401"/>
      <c r="R49" s="401"/>
      <c r="S49" s="30"/>
      <c r="T49" s="30"/>
      <c r="U49" s="30"/>
      <c r="V49" s="30"/>
      <c r="W49" s="30"/>
      <c r="X49" s="30"/>
    </row>
    <row r="50" spans="1:26" ht="15" thickBot="1" x14ac:dyDescent="0.2">
      <c r="A50" s="487"/>
      <c r="B50" s="487"/>
      <c r="C50" s="487"/>
      <c r="D50" s="525"/>
      <c r="E50" s="525"/>
      <c r="F50" s="525"/>
      <c r="G50" s="525"/>
      <c r="H50" s="525"/>
      <c r="I50" s="525"/>
      <c r="J50" s="525"/>
      <c r="K50" s="487"/>
      <c r="L50" s="487"/>
      <c r="M50" s="487"/>
      <c r="N50" s="487"/>
      <c r="O50" s="487"/>
      <c r="P50" s="30"/>
      <c r="Q50" s="30"/>
      <c r="R50" s="30"/>
      <c r="S50" s="30"/>
      <c r="T50" s="30"/>
      <c r="U50" s="30"/>
      <c r="V50" s="30"/>
      <c r="W50" s="30"/>
      <c r="X50" s="30"/>
    </row>
    <row r="51" spans="1:26" ht="18.75" x14ac:dyDescent="0.15">
      <c r="A51" s="487"/>
      <c r="B51" s="1095" t="s">
        <v>1333</v>
      </c>
      <c r="C51" s="1111"/>
      <c r="D51" s="1104"/>
      <c r="E51" s="1717" t="s">
        <v>1254</v>
      </c>
      <c r="F51" s="1718"/>
      <c r="G51" s="1718"/>
      <c r="H51" s="1718"/>
      <c r="I51" s="1718"/>
      <c r="J51" s="1718"/>
      <c r="K51" s="1718"/>
      <c r="L51" s="1718"/>
      <c r="M51" s="1718"/>
      <c r="N51" s="1719"/>
      <c r="O51" s="1059"/>
      <c r="P51" s="925"/>
      <c r="Q51" s="925"/>
      <c r="R51" s="925"/>
      <c r="S51" s="30"/>
      <c r="T51" s="30"/>
      <c r="U51" s="30"/>
      <c r="V51" s="30"/>
      <c r="W51" s="30"/>
      <c r="X51" s="30"/>
    </row>
    <row r="52" spans="1:26" x14ac:dyDescent="0.15">
      <c r="A52" s="487"/>
      <c r="B52" s="1097" t="s">
        <v>1334</v>
      </c>
      <c r="C52" s="1091"/>
      <c r="D52" s="1105"/>
      <c r="E52" s="1075" t="s">
        <v>1513</v>
      </c>
      <c r="F52" s="1039" t="s">
        <v>1514</v>
      </c>
      <c r="G52" s="921" t="s">
        <v>1515</v>
      </c>
      <c r="H52" s="921" t="s">
        <v>1516</v>
      </c>
      <c r="I52" s="1039" t="s">
        <v>1517</v>
      </c>
      <c r="J52" s="1039" t="s">
        <v>1518</v>
      </c>
      <c r="K52" s="1039" t="s">
        <v>1531</v>
      </c>
      <c r="L52" s="1039" t="s">
        <v>1532</v>
      </c>
      <c r="M52" s="1039" t="s">
        <v>1533</v>
      </c>
      <c r="N52" s="1040" t="s">
        <v>1534</v>
      </c>
      <c r="O52" s="1074"/>
      <c r="P52" s="925"/>
      <c r="Q52" s="925"/>
      <c r="R52" s="925"/>
      <c r="S52" s="30"/>
      <c r="T52" s="30"/>
      <c r="U52" s="30"/>
      <c r="V52" s="30"/>
      <c r="W52" s="30"/>
      <c r="X52" s="30"/>
    </row>
    <row r="53" spans="1:26" x14ac:dyDescent="0.15">
      <c r="A53" s="487"/>
      <c r="B53" s="1098"/>
      <c r="C53" s="993" t="s">
        <v>1299</v>
      </c>
      <c r="D53" s="1106"/>
      <c r="E53" s="1080">
        <f>+断面算定!$J40</f>
        <v>0</v>
      </c>
      <c r="F53" s="991">
        <f>+断面算定!$J43</f>
        <v>0</v>
      </c>
      <c r="G53" s="991">
        <f>+断面算定!$J46</f>
        <v>0</v>
      </c>
      <c r="H53" s="991">
        <f>+断面算定!$J49</f>
        <v>0</v>
      </c>
      <c r="I53" s="991">
        <f>+断面算定!$J52</f>
        <v>0</v>
      </c>
      <c r="J53" s="991">
        <f>+断面算定!$J55</f>
        <v>0</v>
      </c>
      <c r="K53" s="991">
        <f>+断面算定!$J58</f>
        <v>0</v>
      </c>
      <c r="L53" s="991">
        <f>+断面算定!$J61</f>
        <v>0</v>
      </c>
      <c r="M53" s="991">
        <f>+断面算定!$J64</f>
        <v>0</v>
      </c>
      <c r="N53" s="1079">
        <f>+断面算定!$J67</f>
        <v>0</v>
      </c>
      <c r="O53" s="520"/>
      <c r="P53" s="126" t="str">
        <f>+""</f>
        <v/>
      </c>
      <c r="Q53" s="391"/>
      <c r="R53" s="126"/>
      <c r="S53" s="126"/>
      <c r="T53" s="391"/>
      <c r="U53" s="391"/>
      <c r="V53" s="30"/>
      <c r="W53" s="30"/>
      <c r="X53" s="30"/>
    </row>
    <row r="54" spans="1:26" ht="14.25" customHeight="1" x14ac:dyDescent="0.15">
      <c r="A54" s="487"/>
      <c r="B54" s="1098"/>
      <c r="C54" s="1679" t="s">
        <v>1302</v>
      </c>
      <c r="D54" s="1014" t="s">
        <v>1303</v>
      </c>
      <c r="E54" s="1043">
        <f>IF(E53=0,0,P55)</f>
        <v>0</v>
      </c>
      <c r="F54" s="1003">
        <f t="shared" ref="F54:N54" si="31">IF(F53=0,0,Q55)</f>
        <v>0</v>
      </c>
      <c r="G54" s="1003">
        <f t="shared" si="31"/>
        <v>0</v>
      </c>
      <c r="H54" s="1003">
        <f t="shared" si="31"/>
        <v>0</v>
      </c>
      <c r="I54" s="1003">
        <f t="shared" si="31"/>
        <v>0</v>
      </c>
      <c r="J54" s="1003">
        <f t="shared" si="31"/>
        <v>0</v>
      </c>
      <c r="K54" s="1003">
        <f t="shared" si="31"/>
        <v>0</v>
      </c>
      <c r="L54" s="1003">
        <f t="shared" si="31"/>
        <v>0</v>
      </c>
      <c r="M54" s="1003">
        <f t="shared" si="31"/>
        <v>0</v>
      </c>
      <c r="N54" s="1042">
        <f t="shared" si="31"/>
        <v>0</v>
      </c>
      <c r="O54" s="1070"/>
      <c r="P54" s="927">
        <f>IF(E53=+"",0,+VALUE(RIGHT(E53,4)))</f>
        <v>0</v>
      </c>
      <c r="Q54" s="927">
        <f t="shared" ref="Q54" si="32">IF(F53=+"",0,+VALUE(RIGHT(F53,4)))</f>
        <v>0</v>
      </c>
      <c r="R54" s="927">
        <f t="shared" ref="R54" si="33">IF(G53=+"",0,+VALUE(RIGHT(G53,4)))</f>
        <v>0</v>
      </c>
      <c r="S54" s="927">
        <f t="shared" ref="S54" si="34">IF(H53=+"",0,+VALUE(RIGHT(H53,4)))</f>
        <v>0</v>
      </c>
      <c r="T54" s="927">
        <f t="shared" ref="T54" si="35">IF(I53=+"",0,+VALUE(RIGHT(I53,4)))</f>
        <v>0</v>
      </c>
      <c r="U54" s="927">
        <f t="shared" ref="U54" si="36">IF(J53=+"",0,+VALUE(RIGHT(J53,4)))</f>
        <v>0</v>
      </c>
      <c r="V54" s="927">
        <f t="shared" ref="V54" si="37">IF(K53=+"",0,+VALUE(RIGHT(K53,4)))</f>
        <v>0</v>
      </c>
      <c r="W54" s="927">
        <f t="shared" ref="W54" si="38">IF(L53=+"",0,+VALUE(RIGHT(L53,4)))</f>
        <v>0</v>
      </c>
      <c r="X54" s="927">
        <f t="shared" ref="X54" si="39">IF(M53=+"",0,+VALUE(RIGHT(M53,4)))</f>
        <v>0</v>
      </c>
      <c r="Y54" s="927">
        <f t="shared" ref="Y54" si="40">IF(N53=+"",0,+VALUE(RIGHT(N53,4)))</f>
        <v>0</v>
      </c>
      <c r="Z54" s="927">
        <f t="shared" ref="Z54" si="41">IF(O53=+"",0,+VALUE(RIGHT(O53,4)))</f>
        <v>0</v>
      </c>
    </row>
    <row r="55" spans="1:26" x14ac:dyDescent="0.15">
      <c r="A55" s="487"/>
      <c r="B55" s="1098"/>
      <c r="C55" s="1305"/>
      <c r="D55" s="1014" t="s">
        <v>600</v>
      </c>
      <c r="E55" s="1043">
        <f>IF(E53=0,0,P56)</f>
        <v>0</v>
      </c>
      <c r="F55" s="1003">
        <f t="shared" ref="F55:N55" si="42">IF(F53=0,0,Q56)</f>
        <v>0</v>
      </c>
      <c r="G55" s="1003">
        <f t="shared" si="42"/>
        <v>0</v>
      </c>
      <c r="H55" s="1003">
        <f t="shared" si="42"/>
        <v>0</v>
      </c>
      <c r="I55" s="1003">
        <f t="shared" si="42"/>
        <v>0</v>
      </c>
      <c r="J55" s="1003">
        <f t="shared" si="42"/>
        <v>0</v>
      </c>
      <c r="K55" s="1003">
        <f t="shared" si="42"/>
        <v>0</v>
      </c>
      <c r="L55" s="1003">
        <f t="shared" si="42"/>
        <v>0</v>
      </c>
      <c r="M55" s="1003">
        <f t="shared" si="42"/>
        <v>0</v>
      </c>
      <c r="N55" s="1042">
        <f t="shared" si="42"/>
        <v>0</v>
      </c>
      <c r="O55" s="1070"/>
      <c r="P55" s="10" t="e">
        <f>IF(VALUE(RIGHT(断面算定!$G$3,4))=2,ROUND(VLOOKUP(P54,許容応力!$B$6:$K$22,7)*1.1/3*100,0),ROUND(VLOOKUP(P54,許容応力!$B$6:$K$22,7)*1.1/3*1.3*100,0))</f>
        <v>#N/A</v>
      </c>
      <c r="Q55" s="10" t="e">
        <f>IF(VALUE(RIGHT(断面算定!$G$3,4))=2,ROUND(VLOOKUP(Q54,許容応力!$B$6:$K$22,7)*1.1/3*100,0),ROUND(VLOOKUP(Q54,許容応力!$B$6:$K$22,7)*1.1/3*1.3*100,0))</f>
        <v>#N/A</v>
      </c>
      <c r="R55" s="10" t="e">
        <f>IF(VALUE(RIGHT(断面算定!$G$3,4))=2,ROUND(VLOOKUP(R54,許容応力!$B$6:$K$22,7)*1.1/3*100,0),ROUND(VLOOKUP(R54,許容応力!$B$6:$K$22,7)*1.1/3*1.3*100,0))</f>
        <v>#N/A</v>
      </c>
      <c r="S55" s="10" t="e">
        <f>IF(VALUE(RIGHT(断面算定!$G$3,4))=2,ROUND(VLOOKUP(S54,許容応力!$B$6:$K$22,7)*1.1/3*100,0),ROUND(VLOOKUP(S54,許容応力!$B$6:$K$22,7)*1.1/3*1.3*100,0))</f>
        <v>#N/A</v>
      </c>
      <c r="T55" s="10" t="e">
        <f>IF(VALUE(RIGHT(断面算定!$G$3,4))=2,ROUND(VLOOKUP(T54,許容応力!$B$6:$K$22,7)*1.1/3*100,0),ROUND(VLOOKUP(T54,許容応力!$B$6:$K$22,7)*1.1/3*1.3*100,0))</f>
        <v>#N/A</v>
      </c>
      <c r="U55" s="10" t="e">
        <f>IF(VALUE(RIGHT(断面算定!$G$3,4))=2,ROUND(VLOOKUP(U54,許容応力!$B$6:$K$22,7)*1.1/3*100,0),ROUND(VLOOKUP(U54,許容応力!$B$6:$K$22,7)*1.1/3*1.3*100,0))</f>
        <v>#N/A</v>
      </c>
      <c r="V55" s="10" t="e">
        <f>IF(VALUE(RIGHT(断面算定!$G$3,4))=2,ROUND(VLOOKUP(V54,許容応力!$B$6:$K$22,7)*1.1/3*100,0),ROUND(VLOOKUP(V54,許容応力!$B$6:$K$22,7)*1.1/3*1.3*100,0))</f>
        <v>#N/A</v>
      </c>
      <c r="W55" s="10" t="e">
        <f>IF(VALUE(RIGHT(断面算定!$G$3,4))=2,ROUND(VLOOKUP(W54,許容応力!$B$6:$K$22,7)*1.1/3*100,0),ROUND(VLOOKUP(W54,許容応力!$B$6:$K$22,7)*1.1/3*1.3*100,0))</f>
        <v>#N/A</v>
      </c>
      <c r="X55" s="10" t="e">
        <f>IF(VALUE(RIGHT(断面算定!$G$3,4))=2,ROUND(VLOOKUP(X54,許容応力!$B$6:$K$22,7)*1.1/3*100,0),ROUND(VLOOKUP(X54,許容応力!$B$6:$K$22,7)*1.1/3*1.3*100,0))</f>
        <v>#N/A</v>
      </c>
      <c r="Y55" s="10" t="e">
        <f>IF(VALUE(RIGHT(断面算定!$G$3,4))=2,ROUND(VLOOKUP(Y54,許容応力!$B$6:$K$22,7)*1.1/3*100,0),ROUND(VLOOKUP(Y54,許容応力!$B$6:$K$22,7)*1.1/3*1.3*100,0))</f>
        <v>#N/A</v>
      </c>
      <c r="Z55" s="10" t="e">
        <f>IF(VALUE(RIGHT(断面算定!$G$3,4))=2,ROUND(VLOOKUP(Z54,許容応力!$B$6:$K$22,7)*1.1/3*100,0),ROUND(VLOOKUP(Z54,許容応力!$B$6:$K$22,7)*1.1/3*1.3*100,0))</f>
        <v>#N/A</v>
      </c>
    </row>
    <row r="56" spans="1:26" x14ac:dyDescent="0.15">
      <c r="A56" s="487"/>
      <c r="B56" s="1098"/>
      <c r="C56" s="1305"/>
      <c r="D56" s="1014" t="s">
        <v>601</v>
      </c>
      <c r="E56" s="1043">
        <f>IF(E53=0,0,P57)</f>
        <v>0</v>
      </c>
      <c r="F56" s="1003">
        <f t="shared" ref="F56:N56" si="43">IF(F53=0,0,Q57)</f>
        <v>0</v>
      </c>
      <c r="G56" s="1003">
        <f t="shared" si="43"/>
        <v>0</v>
      </c>
      <c r="H56" s="1003">
        <f t="shared" si="43"/>
        <v>0</v>
      </c>
      <c r="I56" s="1003">
        <f t="shared" si="43"/>
        <v>0</v>
      </c>
      <c r="J56" s="1003">
        <f t="shared" si="43"/>
        <v>0</v>
      </c>
      <c r="K56" s="1003">
        <f t="shared" si="43"/>
        <v>0</v>
      </c>
      <c r="L56" s="1003">
        <f t="shared" si="43"/>
        <v>0</v>
      </c>
      <c r="M56" s="1003">
        <f t="shared" si="43"/>
        <v>0</v>
      </c>
      <c r="N56" s="1042">
        <f t="shared" si="43"/>
        <v>0</v>
      </c>
      <c r="O56" s="1070"/>
      <c r="P56" s="10" t="e">
        <f>IF(VALUE(RIGHT(断面算定!$G$3,4))=2,ROUND(VLOOKUP(P54,許容応力!$B$6:$K$22,8)*1.1/3*100,0),ROUND(VLOOKUP(P54,許容応力!$B$6:$K$22,8)*1.1/3*1.3*100,0))</f>
        <v>#N/A</v>
      </c>
      <c r="Q56" s="10" t="e">
        <f>IF(VALUE(RIGHT(断面算定!$G$3,4))=2,ROUND(VLOOKUP(Q54,許容応力!$B$6:$K$22,8)*1.1/3*100,0),ROUND(VLOOKUP(Q54,許容応力!$B$6:$K$22,8)*1.1/3*1.3*100,0))</f>
        <v>#N/A</v>
      </c>
      <c r="R56" s="10" t="e">
        <f>IF(VALUE(RIGHT(断面算定!$G$3,4))=2,ROUND(VLOOKUP(R54,許容応力!$B$6:$K$22,8)*1.1/3*100,0),ROUND(VLOOKUP(R54,許容応力!$B$6:$K$22,8)*1.1/3*1.3*100,0))</f>
        <v>#N/A</v>
      </c>
      <c r="S56" s="10" t="e">
        <f>IF(VALUE(RIGHT(断面算定!$G$3,4))=2,ROUND(VLOOKUP(S54,許容応力!$B$6:$K$22,8)*1.1/3*100,0),ROUND(VLOOKUP(S54,許容応力!$B$6:$K$22,8)*1.1/3*1.3*100,0))</f>
        <v>#N/A</v>
      </c>
      <c r="T56" s="10" t="e">
        <f>IF(VALUE(RIGHT(断面算定!$G$3,4))=2,ROUND(VLOOKUP(T54,許容応力!$B$6:$K$22,8)*1.1/3*100,0),ROUND(VLOOKUP(T54,許容応力!$B$6:$K$22,8)*1.1/3*1.3*100,0))</f>
        <v>#N/A</v>
      </c>
      <c r="U56" s="10" t="e">
        <f>IF(VALUE(RIGHT(断面算定!$G$3,4))=2,ROUND(VLOOKUP(U54,許容応力!$B$6:$K$22,8)*1.1/3*100,0),ROUND(VLOOKUP(U54,許容応力!$B$6:$K$22,8)*1.1/3*1.3*100,0))</f>
        <v>#N/A</v>
      </c>
      <c r="V56" s="10" t="e">
        <f>IF(VALUE(RIGHT(断面算定!$G$3,4))=2,ROUND(VLOOKUP(V54,許容応力!$B$6:$K$22,8)*1.1/3*100,0),ROUND(VLOOKUP(V54,許容応力!$B$6:$K$22,8)*1.1/3*1.3*100,0))</f>
        <v>#N/A</v>
      </c>
      <c r="W56" s="10" t="e">
        <f>IF(VALUE(RIGHT(断面算定!$G$3,4))=2,ROUND(VLOOKUP(W54,許容応力!$B$6:$K$22,8)*1.1/3*100,0),ROUND(VLOOKUP(W54,許容応力!$B$6:$K$22,8)*1.1/3*1.3*100,0))</f>
        <v>#N/A</v>
      </c>
      <c r="X56" s="10" t="e">
        <f>IF(VALUE(RIGHT(断面算定!$G$3,4))=2,ROUND(VLOOKUP(X54,許容応力!$B$6:$K$22,8)*1.1/3*100,0),ROUND(VLOOKUP(X54,許容応力!$B$6:$K$22,8)*1.1/3*1.3*100,0))</f>
        <v>#N/A</v>
      </c>
      <c r="Y56" s="10" t="e">
        <f>IF(VALUE(RIGHT(断面算定!$G$3,4))=2,ROUND(VLOOKUP(Y54,許容応力!$B$6:$K$22,8)*1.1/3*100,0),ROUND(VLOOKUP(Y54,許容応力!$B$6:$K$22,8)*1.1/3*1.3*100,0))</f>
        <v>#N/A</v>
      </c>
      <c r="Z56" s="10" t="e">
        <f>IF(VALUE(RIGHT(断面算定!$G$3,4))=2,ROUND(VLOOKUP(Z54,許容応力!$B$6:$K$22,8)*1.1/3*100,0),ROUND(VLOOKUP(Z54,許容応力!$B$6:$K$22,8)*1.1/3*1.3*100,0))</f>
        <v>#N/A</v>
      </c>
    </row>
    <row r="57" spans="1:26" x14ac:dyDescent="0.15">
      <c r="A57" s="487"/>
      <c r="B57" s="1098"/>
      <c r="C57" s="1305"/>
      <c r="D57" s="1014" t="s">
        <v>641</v>
      </c>
      <c r="E57" s="1043">
        <f>IF(E53=0,0,P58)</f>
        <v>0</v>
      </c>
      <c r="F57" s="1003">
        <f t="shared" ref="F57:N57" si="44">IF(F53=0,0,Q58)</f>
        <v>0</v>
      </c>
      <c r="G57" s="1003">
        <f t="shared" si="44"/>
        <v>0</v>
      </c>
      <c r="H57" s="1003">
        <f t="shared" si="44"/>
        <v>0</v>
      </c>
      <c r="I57" s="1003">
        <f t="shared" si="44"/>
        <v>0</v>
      </c>
      <c r="J57" s="1003">
        <f t="shared" si="44"/>
        <v>0</v>
      </c>
      <c r="K57" s="1003">
        <f t="shared" si="44"/>
        <v>0</v>
      </c>
      <c r="L57" s="1003">
        <f t="shared" si="44"/>
        <v>0</v>
      </c>
      <c r="M57" s="1003">
        <f t="shared" si="44"/>
        <v>0</v>
      </c>
      <c r="N57" s="1042">
        <f t="shared" si="44"/>
        <v>0</v>
      </c>
      <c r="O57" s="1070"/>
      <c r="P57" s="10" t="e">
        <f>ROUND(VLOOKUP(P54,許容応力!$B$6:$K$22,10)*100,0)</f>
        <v>#N/A</v>
      </c>
      <c r="Q57" s="10" t="e">
        <f>ROUND(VLOOKUP(Q54,許容応力!$B$6:$K$22,10)*100,0)</f>
        <v>#N/A</v>
      </c>
      <c r="R57" s="10" t="e">
        <f>ROUND(VLOOKUP(R54,許容応力!$B$6:$K$22,10)*100,0)</f>
        <v>#N/A</v>
      </c>
      <c r="S57" s="10" t="e">
        <f>ROUND(VLOOKUP(S54,許容応力!$B$6:$K$22,10)*100,0)</f>
        <v>#N/A</v>
      </c>
      <c r="T57" s="10" t="e">
        <f>ROUND(VLOOKUP(T54,許容応力!$B$6:$K$22,10)*100,0)</f>
        <v>#N/A</v>
      </c>
      <c r="U57" s="10" t="e">
        <f>ROUND(VLOOKUP(U54,許容応力!$B$6:$K$22,10)*100,0)</f>
        <v>#N/A</v>
      </c>
      <c r="V57" s="10" t="e">
        <f>ROUND(VLOOKUP(V54,許容応力!$B$6:$K$22,10)*100,0)</f>
        <v>#N/A</v>
      </c>
      <c r="W57" s="10" t="e">
        <f>ROUND(VLOOKUP(W54,許容応力!$B$6:$K$22,10)*100,0)</f>
        <v>#N/A</v>
      </c>
      <c r="X57" s="10" t="e">
        <f>ROUND(VLOOKUP(X54,許容応力!$B$6:$K$22,10)*100,0)</f>
        <v>#N/A</v>
      </c>
      <c r="Y57" s="10" t="e">
        <f>ROUND(VLOOKUP(Y54,許容応力!$B$6:$K$22,10)*100,0)</f>
        <v>#N/A</v>
      </c>
      <c r="Z57" s="10" t="e">
        <f>ROUND(VLOOKUP(Z54,許容応力!$B$6:$K$22,10)*100,0)</f>
        <v>#N/A</v>
      </c>
    </row>
    <row r="58" spans="1:26" x14ac:dyDescent="0.15">
      <c r="A58" s="487"/>
      <c r="B58" s="1098"/>
      <c r="C58" s="1276"/>
      <c r="D58" s="1014" t="s">
        <v>599</v>
      </c>
      <c r="E58" s="1043">
        <f>IF(E53=0,0,P59)</f>
        <v>0</v>
      </c>
      <c r="F58" s="1003">
        <f t="shared" ref="F58:N58" si="45">IF(F53=0,0,Q59)</f>
        <v>0</v>
      </c>
      <c r="G58" s="1003">
        <f t="shared" si="45"/>
        <v>0</v>
      </c>
      <c r="H58" s="1003">
        <f t="shared" si="45"/>
        <v>0</v>
      </c>
      <c r="I58" s="1003">
        <f t="shared" si="45"/>
        <v>0</v>
      </c>
      <c r="J58" s="1003">
        <f t="shared" si="45"/>
        <v>0</v>
      </c>
      <c r="K58" s="1003">
        <f t="shared" si="45"/>
        <v>0</v>
      </c>
      <c r="L58" s="1003">
        <f t="shared" si="45"/>
        <v>0</v>
      </c>
      <c r="M58" s="1003">
        <f t="shared" si="45"/>
        <v>0</v>
      </c>
      <c r="N58" s="1042">
        <f t="shared" si="45"/>
        <v>0</v>
      </c>
      <c r="O58" s="1070"/>
      <c r="P58" s="10" t="e">
        <f>IF(VALUE(RIGHT(断面算定!$G$3,4))=2,ROUND(VLOOKUP(P54,許容応力!$B$6:$K$22,6)*1.1/3*100,0),ROUND(VLOOKUP(P54,許容応力!$B$6:$K$22,6)*1.1/3*1.3*100,0))</f>
        <v>#N/A</v>
      </c>
      <c r="Q58" s="10" t="e">
        <f>IF(VALUE(RIGHT(断面算定!$G$3,4))=2,ROUND(VLOOKUP(Q54,許容応力!$B$6:$K$22,6)*1.1/3*100,0),ROUND(VLOOKUP(Q54,許容応力!$B$6:$K$22,6)*1.1/3*1.3*100,0))</f>
        <v>#N/A</v>
      </c>
      <c r="R58" s="10" t="e">
        <f>IF(VALUE(RIGHT(断面算定!$G$3,4))=2,ROUND(VLOOKUP(R54,許容応力!$B$6:$K$22,6)*1.1/3*100,0),ROUND(VLOOKUP(R54,許容応力!$B$6:$K$22,6)*1.1/3*1.3*100,0))</f>
        <v>#N/A</v>
      </c>
      <c r="S58" s="10" t="e">
        <f>IF(VALUE(RIGHT(断面算定!$G$3,4))=2,ROUND(VLOOKUP(S54,許容応力!$B$6:$K$22,6)*1.1/3*100,0),ROUND(VLOOKUP(S54,許容応力!$B$6:$K$22,6)*1.1/3*1.3*100,0))</f>
        <v>#N/A</v>
      </c>
      <c r="T58" s="10" t="e">
        <f>IF(VALUE(RIGHT(断面算定!$G$3,4))=2,ROUND(VLOOKUP(T54,許容応力!$B$6:$K$22,6)*1.1/3*100,0),ROUND(VLOOKUP(T54,許容応力!$B$6:$K$22,6)*1.1/3*1.3*100,0))</f>
        <v>#N/A</v>
      </c>
      <c r="U58" s="10" t="e">
        <f>IF(VALUE(RIGHT(断面算定!$G$3,4))=2,ROUND(VLOOKUP(U54,許容応力!$B$6:$K$22,6)*1.1/3*100,0),ROUND(VLOOKUP(U54,許容応力!$B$6:$K$22,6)*1.1/3*1.3*100,0))</f>
        <v>#N/A</v>
      </c>
      <c r="V58" s="10" t="e">
        <f>IF(VALUE(RIGHT(断面算定!$G$3,4))=2,ROUND(VLOOKUP(V54,許容応力!$B$6:$K$22,6)*1.1/3*100,0),ROUND(VLOOKUP(V54,許容応力!$B$6:$K$22,6)*1.1/3*1.3*100,0))</f>
        <v>#N/A</v>
      </c>
      <c r="W58" s="10" t="e">
        <f>IF(VALUE(RIGHT(断面算定!$G$3,4))=2,ROUND(VLOOKUP(W54,許容応力!$B$6:$K$22,6)*1.1/3*100,0),ROUND(VLOOKUP(W54,許容応力!$B$6:$K$22,6)*1.1/3*1.3*100,0))</f>
        <v>#N/A</v>
      </c>
      <c r="X58" s="10" t="e">
        <f>IF(VALUE(RIGHT(断面算定!$G$3,4))=2,ROUND(VLOOKUP(X54,許容応力!$B$6:$K$22,6)*1.1/3*100,0),ROUND(VLOOKUP(X54,許容応力!$B$6:$K$22,6)*1.1/3*1.3*100,0))</f>
        <v>#N/A</v>
      </c>
      <c r="Y58" s="10" t="e">
        <f>IF(VALUE(RIGHT(断面算定!$G$3,4))=2,ROUND(VLOOKUP(Y54,許容応力!$B$6:$K$22,6)*1.1/3*100,0),ROUND(VLOOKUP(Y54,許容応力!$B$6:$K$22,6)*1.1/3*1.3*100,0))</f>
        <v>#N/A</v>
      </c>
      <c r="Z58" s="10" t="e">
        <f>IF(VALUE(RIGHT(断面算定!$G$3,4))=2,ROUND(VLOOKUP(Z54,許容応力!$B$6:$K$22,6)*1.1/3*100,0),ROUND(VLOOKUP(Z54,許容応力!$B$6:$K$22,6)*1.1/3*1.3*100,0))</f>
        <v>#N/A</v>
      </c>
    </row>
    <row r="59" spans="1:26" x14ac:dyDescent="0.15">
      <c r="A59" s="487"/>
      <c r="B59" s="1098"/>
      <c r="C59" s="988" t="s">
        <v>1524</v>
      </c>
      <c r="D59" s="984" t="s">
        <v>475</v>
      </c>
      <c r="E59" s="1051">
        <f>+断面算定!$I40</f>
        <v>0</v>
      </c>
      <c r="F59" s="1004">
        <f>+断面算定!$I43</f>
        <v>0</v>
      </c>
      <c r="G59" s="1004">
        <f>+断面算定!$I46</f>
        <v>0</v>
      </c>
      <c r="H59" s="1004">
        <f>+断面算定!$I49</f>
        <v>0</v>
      </c>
      <c r="I59" s="1004">
        <f>+断面算定!$I52</f>
        <v>0</v>
      </c>
      <c r="J59" s="1004">
        <f>+断面算定!$I55</f>
        <v>0</v>
      </c>
      <c r="K59" s="1004">
        <f>+断面算定!$I58</f>
        <v>0</v>
      </c>
      <c r="L59" s="1004">
        <f>+断面算定!$I61</f>
        <v>0</v>
      </c>
      <c r="M59" s="1004">
        <f>+断面算定!$I64</f>
        <v>0</v>
      </c>
      <c r="N59" s="1050">
        <f>+断面算定!$I67</f>
        <v>0</v>
      </c>
      <c r="O59" s="1072"/>
      <c r="P59" s="10" t="e">
        <f>IF(VALUE(RIGHT(断面算定!$G$3,4))=2,ROUND(VLOOKUP(P54,許容応力!$B$6:$K$22,5)*1.1/3*100,0),ROUND(VLOOKUP(P54,許容応力!$B$6:$K$22,5)*1.1/3*1.3*100,0))</f>
        <v>#N/A</v>
      </c>
      <c r="Q59" s="10" t="e">
        <f>IF(VALUE(RIGHT(断面算定!$G$3,4))=2,ROUND(VLOOKUP(Q54,許容応力!$B$6:$K$22,5)*1.1/3*100,0),ROUND(VLOOKUP(Q54,許容応力!$B$6:$K$22,5)*1.1/3*1.3*100,0))</f>
        <v>#N/A</v>
      </c>
      <c r="R59" s="10" t="e">
        <f>IF(VALUE(RIGHT(断面算定!$G$3,4))=2,ROUND(VLOOKUP(R54,許容応力!$B$6:$K$22,5)*1.1/3*100,0),ROUND(VLOOKUP(R54,許容応力!$B$6:$K$22,5)*1.1/3*1.3*100,0))</f>
        <v>#N/A</v>
      </c>
      <c r="S59" s="10" t="e">
        <f>IF(VALUE(RIGHT(断面算定!$G$3,4))=2,ROUND(VLOOKUP(S54,許容応力!$B$6:$K$22,5)*1.1/3*100,0),ROUND(VLOOKUP(S54,許容応力!$B$6:$K$22,5)*1.1/3*1.3*100,0))</f>
        <v>#N/A</v>
      </c>
      <c r="T59" s="10" t="e">
        <f>IF(VALUE(RIGHT(断面算定!$G$3,4))=2,ROUND(VLOOKUP(T54,許容応力!$B$6:$K$22,5)*1.1/3*100,0),ROUND(VLOOKUP(T54,許容応力!$B$6:$K$22,5)*1.1/3*1.3*100,0))</f>
        <v>#N/A</v>
      </c>
      <c r="U59" s="10" t="e">
        <f>IF(VALUE(RIGHT(断面算定!$G$3,4))=2,ROUND(VLOOKUP(U54,許容応力!$B$6:$K$22,5)*1.1/3*100,0),ROUND(VLOOKUP(U54,許容応力!$B$6:$K$22,5)*1.1/3*1.3*100,0))</f>
        <v>#N/A</v>
      </c>
      <c r="V59" s="10" t="e">
        <f>IF(VALUE(RIGHT(断面算定!$G$3,4))=2,ROUND(VLOOKUP(V54,許容応力!$B$6:$K$22,5)*1.1/3*100,0),ROUND(VLOOKUP(V54,許容応力!$B$6:$K$22,5)*1.1/3*1.3*100,0))</f>
        <v>#N/A</v>
      </c>
      <c r="W59" s="10" t="e">
        <f>IF(VALUE(RIGHT(断面算定!$G$3,4))=2,ROUND(VLOOKUP(W54,許容応力!$B$6:$K$22,5)*1.1/3*100,0),ROUND(VLOOKUP(W54,許容応力!$B$6:$K$22,5)*1.1/3*1.3*100,0))</f>
        <v>#N/A</v>
      </c>
      <c r="X59" s="10" t="e">
        <f>IF(VALUE(RIGHT(断面算定!$G$3,4))=2,ROUND(VLOOKUP(X54,許容応力!$B$6:$K$22,5)*1.1/3*100,0),ROUND(VLOOKUP(X54,許容応力!$B$6:$K$22,5)*1.1/3*1.3*100,0))</f>
        <v>#N/A</v>
      </c>
      <c r="Y59" s="10" t="e">
        <f>IF(VALUE(RIGHT(断面算定!$G$3,4))=2,ROUND(VLOOKUP(Y54,許容応力!$B$6:$K$22,5)*1.1/3*100,0),ROUND(VLOOKUP(Y54,許容応力!$B$6:$K$22,5)*1.1/3*1.3*100,0))</f>
        <v>#N/A</v>
      </c>
      <c r="Z59" s="10" t="e">
        <f>IF(VALUE(RIGHT(断面算定!$G$3,4))=2,ROUND(VLOOKUP(Z54,許容応力!$B$6:$K$22,5)*1.1/3*100,0),ROUND(VLOOKUP(Z54,許容応力!$B$6:$K$22,5)*1.1/3*1.3*100,0))</f>
        <v>#N/A</v>
      </c>
    </row>
    <row r="60" spans="1:26" x14ac:dyDescent="0.15">
      <c r="A60" s="487"/>
      <c r="B60" s="1098"/>
      <c r="C60" s="1721" t="s">
        <v>1337</v>
      </c>
      <c r="D60" s="984" t="s">
        <v>1331</v>
      </c>
      <c r="E60" s="1052">
        <f>+断面算定!$K40/10</f>
        <v>0</v>
      </c>
      <c r="F60" s="1001">
        <f>+断面算定!$K43/10</f>
        <v>0</v>
      </c>
      <c r="G60" s="1001">
        <f>+断面算定!$K46/10</f>
        <v>0</v>
      </c>
      <c r="H60" s="1001">
        <f>+断面算定!$K49/10</f>
        <v>0</v>
      </c>
      <c r="I60" s="1001">
        <f>+断面算定!$K52/10</f>
        <v>0</v>
      </c>
      <c r="J60" s="1001">
        <f>+断面算定!$K55/10</f>
        <v>0</v>
      </c>
      <c r="K60" s="1001">
        <f>+断面算定!$K58/10</f>
        <v>0</v>
      </c>
      <c r="L60" s="1001">
        <f>+断面算定!$K61/10</f>
        <v>0</v>
      </c>
      <c r="M60" s="1001">
        <f>+断面算定!$K64/10</f>
        <v>0</v>
      </c>
      <c r="N60" s="1076">
        <f>+断面算定!$K67/10</f>
        <v>0</v>
      </c>
      <c r="O60" s="1084"/>
      <c r="P60" s="7"/>
      <c r="Q60" s="7"/>
      <c r="R60" s="7"/>
      <c r="S60" s="30"/>
      <c r="T60" s="30"/>
      <c r="U60" s="30"/>
      <c r="V60" s="30"/>
      <c r="W60" s="30"/>
      <c r="X60" s="30"/>
    </row>
    <row r="61" spans="1:26" x14ac:dyDescent="0.15">
      <c r="A61" s="487"/>
      <c r="B61" s="1098"/>
      <c r="C61" s="1306"/>
      <c r="D61" s="984" t="s">
        <v>1525</v>
      </c>
      <c r="E61" s="1110">
        <v>24</v>
      </c>
      <c r="F61" s="926"/>
      <c r="G61" s="930"/>
      <c r="H61" s="930"/>
      <c r="I61" s="930"/>
      <c r="J61" s="930"/>
      <c r="K61" s="930"/>
      <c r="L61" s="930"/>
      <c r="M61" s="930"/>
      <c r="N61" s="1044"/>
      <c r="O61" s="1084"/>
      <c r="P61" s="15"/>
      <c r="Q61" s="15"/>
      <c r="R61" s="15"/>
      <c r="S61" s="30"/>
      <c r="T61" s="30"/>
      <c r="U61" s="30"/>
      <c r="V61" s="30"/>
      <c r="W61" s="30"/>
      <c r="X61" s="30"/>
    </row>
    <row r="62" spans="1:26" x14ac:dyDescent="0.15">
      <c r="A62" s="487"/>
      <c r="B62" s="1098"/>
      <c r="C62" s="1722"/>
      <c r="D62" s="984" t="s">
        <v>1526</v>
      </c>
      <c r="E62" s="1110">
        <v>12</v>
      </c>
      <c r="F62" s="926"/>
      <c r="G62" s="930"/>
      <c r="H62" s="930"/>
      <c r="I62" s="930"/>
      <c r="J62" s="930"/>
      <c r="K62" s="930"/>
      <c r="L62" s="930"/>
      <c r="M62" s="930"/>
      <c r="N62" s="1044"/>
      <c r="O62" s="1084"/>
      <c r="P62" s="15"/>
      <c r="Q62" s="15"/>
      <c r="R62" s="15"/>
      <c r="S62" s="30"/>
      <c r="T62" s="30"/>
      <c r="U62" s="30"/>
      <c r="V62" s="30"/>
      <c r="W62" s="30"/>
      <c r="X62" s="30"/>
    </row>
    <row r="63" spans="1:26" x14ac:dyDescent="0.15">
      <c r="A63" s="487"/>
      <c r="B63" s="1098"/>
      <c r="C63" s="1297"/>
      <c r="D63" s="984" t="s">
        <v>1527</v>
      </c>
      <c r="E63" s="1110"/>
      <c r="F63" s="926"/>
      <c r="G63" s="930"/>
      <c r="H63" s="930"/>
      <c r="I63" s="930"/>
      <c r="J63" s="930"/>
      <c r="K63" s="930"/>
      <c r="L63" s="930"/>
      <c r="M63" s="930"/>
      <c r="N63" s="1044"/>
      <c r="O63" s="1084"/>
      <c r="P63" s="15"/>
      <c r="Q63" s="15"/>
      <c r="R63" s="15"/>
      <c r="S63" s="30"/>
      <c r="T63" s="30"/>
      <c r="U63" s="30"/>
      <c r="V63" s="30"/>
      <c r="W63" s="30"/>
      <c r="X63" s="30"/>
    </row>
    <row r="64" spans="1:26" x14ac:dyDescent="0.15">
      <c r="A64" s="487"/>
      <c r="B64" s="1098"/>
      <c r="C64" s="994" t="s">
        <v>1338</v>
      </c>
      <c r="D64" s="1106"/>
      <c r="E64" s="1047" t="s">
        <v>1339</v>
      </c>
      <c r="F64" s="931" t="s">
        <v>853</v>
      </c>
      <c r="G64" s="931" t="s">
        <v>853</v>
      </c>
      <c r="H64" s="931" t="s">
        <v>853</v>
      </c>
      <c r="I64" s="931" t="s">
        <v>853</v>
      </c>
      <c r="J64" s="931" t="s">
        <v>853</v>
      </c>
      <c r="K64" s="931" t="s">
        <v>853</v>
      </c>
      <c r="L64" s="931" t="s">
        <v>853</v>
      </c>
      <c r="M64" s="931" t="s">
        <v>853</v>
      </c>
      <c r="N64" s="1046" t="s">
        <v>853</v>
      </c>
      <c r="O64" s="1085"/>
      <c r="P64" s="15"/>
      <c r="Q64" s="15"/>
      <c r="R64" s="15"/>
      <c r="S64" s="30"/>
      <c r="T64" s="30"/>
      <c r="U64" s="30"/>
      <c r="V64" s="30"/>
      <c r="W64" s="30"/>
      <c r="X64" s="30"/>
    </row>
    <row r="65" spans="1:26" x14ac:dyDescent="0.15">
      <c r="A65" s="487"/>
      <c r="B65" s="1098"/>
      <c r="C65" s="1721" t="s">
        <v>1528</v>
      </c>
      <c r="D65" s="984" t="s">
        <v>292</v>
      </c>
      <c r="E65" s="1049">
        <f>ROUNDUP(E60*+POWER((E61+E62+E63),3)/12,0)</f>
        <v>0</v>
      </c>
      <c r="F65" s="997">
        <f t="shared" ref="F65:N65" si="46">ROUNDUP(F60*+POWER((F61+F62+F63),3)/12,0)</f>
        <v>0</v>
      </c>
      <c r="G65" s="997">
        <f t="shared" si="46"/>
        <v>0</v>
      </c>
      <c r="H65" s="997">
        <f t="shared" si="46"/>
        <v>0</v>
      </c>
      <c r="I65" s="997">
        <f t="shared" si="46"/>
        <v>0</v>
      </c>
      <c r="J65" s="997">
        <f t="shared" si="46"/>
        <v>0</v>
      </c>
      <c r="K65" s="997">
        <f t="shared" si="46"/>
        <v>0</v>
      </c>
      <c r="L65" s="997">
        <f t="shared" si="46"/>
        <v>0</v>
      </c>
      <c r="M65" s="997">
        <f t="shared" si="46"/>
        <v>0</v>
      </c>
      <c r="N65" s="1048">
        <f t="shared" si="46"/>
        <v>0</v>
      </c>
      <c r="O65" s="1055"/>
      <c r="P65" s="924"/>
      <c r="Q65" s="924"/>
      <c r="R65" s="924"/>
      <c r="S65" s="30"/>
      <c r="T65" s="30"/>
      <c r="U65" s="30"/>
      <c r="V65" s="30"/>
      <c r="W65" s="30"/>
      <c r="X65" s="30"/>
    </row>
    <row r="66" spans="1:26" x14ac:dyDescent="0.15">
      <c r="A66" s="487"/>
      <c r="B66" s="1098"/>
      <c r="C66" s="1722"/>
      <c r="D66" s="984" t="s">
        <v>1341</v>
      </c>
      <c r="E66" s="1049">
        <f>ROUNDUP(E65*E461,0)</f>
        <v>0</v>
      </c>
      <c r="F66" s="997">
        <f t="shared" ref="F66:O66" si="47">ROUNDUP(F65*F461,0)</f>
        <v>0</v>
      </c>
      <c r="G66" s="997">
        <f t="shared" si="47"/>
        <v>0</v>
      </c>
      <c r="H66" s="997">
        <f t="shared" si="47"/>
        <v>0</v>
      </c>
      <c r="I66" s="997">
        <f t="shared" si="47"/>
        <v>0</v>
      </c>
      <c r="J66" s="997">
        <f t="shared" si="47"/>
        <v>0</v>
      </c>
      <c r="K66" s="997">
        <f t="shared" si="47"/>
        <v>0</v>
      </c>
      <c r="L66" s="997">
        <f t="shared" si="47"/>
        <v>0</v>
      </c>
      <c r="M66" s="997">
        <f t="shared" si="47"/>
        <v>0</v>
      </c>
      <c r="N66" s="1048">
        <f t="shared" si="47"/>
        <v>0</v>
      </c>
      <c r="O66" s="1055">
        <f t="shared" si="47"/>
        <v>0</v>
      </c>
      <c r="P66" s="401"/>
      <c r="Q66" s="401"/>
      <c r="R66" s="401"/>
      <c r="S66" s="30"/>
      <c r="T66" s="30"/>
      <c r="U66" s="30"/>
      <c r="V66" s="30"/>
      <c r="W66" s="30"/>
      <c r="X66" s="30"/>
    </row>
    <row r="67" spans="1:26" x14ac:dyDescent="0.15">
      <c r="A67" s="487"/>
      <c r="B67" s="1098"/>
      <c r="C67" s="1722"/>
      <c r="D67" s="984" t="s">
        <v>291</v>
      </c>
      <c r="E67" s="1065">
        <f>ROUNDUP(E60*+POWER((E61+E62+E63),2)/6,0)</f>
        <v>0</v>
      </c>
      <c r="F67" s="1005">
        <f t="shared" ref="F67:N67" si="48">ROUNDUP(F60*+POWER((F61+F62+F63),2)/6,0)</f>
        <v>0</v>
      </c>
      <c r="G67" s="1005">
        <f t="shared" si="48"/>
        <v>0</v>
      </c>
      <c r="H67" s="1005">
        <f t="shared" si="48"/>
        <v>0</v>
      </c>
      <c r="I67" s="1005">
        <f t="shared" si="48"/>
        <v>0</v>
      </c>
      <c r="J67" s="1005">
        <f t="shared" si="48"/>
        <v>0</v>
      </c>
      <c r="K67" s="1005">
        <f t="shared" si="48"/>
        <v>0</v>
      </c>
      <c r="L67" s="1005">
        <f t="shared" si="48"/>
        <v>0</v>
      </c>
      <c r="M67" s="1005">
        <f t="shared" si="48"/>
        <v>0</v>
      </c>
      <c r="N67" s="1053">
        <f t="shared" si="48"/>
        <v>0</v>
      </c>
      <c r="O67" s="1055"/>
      <c r="P67" s="401"/>
      <c r="Q67" s="401"/>
      <c r="R67" s="401"/>
      <c r="S67" s="30"/>
      <c r="T67" s="30"/>
      <c r="U67" s="30"/>
      <c r="V67" s="30"/>
      <c r="W67" s="30"/>
      <c r="X67" s="30"/>
    </row>
    <row r="68" spans="1:26" x14ac:dyDescent="0.15">
      <c r="A68" s="487"/>
      <c r="B68" s="1098"/>
      <c r="C68" s="1722"/>
      <c r="D68" s="984" t="s">
        <v>1344</v>
      </c>
      <c r="E68" s="1065">
        <f>ROUNDUP(E67*E462,0)</f>
        <v>0</v>
      </c>
      <c r="F68" s="1005">
        <f t="shared" ref="F68:O68" si="49">ROUNDUP(F67*F462,0)</f>
        <v>0</v>
      </c>
      <c r="G68" s="1005">
        <f t="shared" si="49"/>
        <v>0</v>
      </c>
      <c r="H68" s="1005">
        <f t="shared" si="49"/>
        <v>0</v>
      </c>
      <c r="I68" s="1005">
        <f t="shared" si="49"/>
        <v>0</v>
      </c>
      <c r="J68" s="1005">
        <f t="shared" si="49"/>
        <v>0</v>
      </c>
      <c r="K68" s="1005">
        <f t="shared" si="49"/>
        <v>0</v>
      </c>
      <c r="L68" s="1005">
        <f t="shared" si="49"/>
        <v>0</v>
      </c>
      <c r="M68" s="1005">
        <f t="shared" si="49"/>
        <v>0</v>
      </c>
      <c r="N68" s="1053">
        <f t="shared" si="49"/>
        <v>0</v>
      </c>
      <c r="O68" s="1071">
        <f t="shared" si="49"/>
        <v>0</v>
      </c>
      <c r="P68" s="401"/>
      <c r="Q68" s="401"/>
      <c r="R68" s="401"/>
      <c r="S68" s="30"/>
      <c r="T68" s="30"/>
      <c r="U68" s="30"/>
      <c r="V68" s="30"/>
      <c r="W68" s="30"/>
      <c r="X68" s="30"/>
    </row>
    <row r="69" spans="1:26" x14ac:dyDescent="0.15">
      <c r="A69" s="487"/>
      <c r="B69" s="1098"/>
      <c r="C69" s="1722"/>
      <c r="D69" s="984" t="s">
        <v>1345</v>
      </c>
      <c r="E69" s="1049">
        <f>IF(E67=0,0,+ROUNDUP(IF(断面算定!$CZ$40&gt;=断面算定!$DC$40,+断面算定!$CZ$40,断面算定!$DC$40)*断面算定!$DF$40/E68,1))</f>
        <v>0</v>
      </c>
      <c r="F69" s="997">
        <f>IF(F67=0,0,+ROUNDUP(IF(断面算定!$CZ$43&gt;=断面算定!$DC$43,+断面算定!$CZ$43,断面算定!$DC$43)*断面算定!$DF$43/F68,1))</f>
        <v>0</v>
      </c>
      <c r="G69" s="997">
        <f>IF(G67=0,0,+ROUNDUP(IF(断面算定!$CZ$46&gt;=断面算定!$DC$46,+断面算定!$CZ$46,断面算定!$DC$46)*断面算定!$DF$46/G68,1))</f>
        <v>0</v>
      </c>
      <c r="H69" s="997">
        <f>IF(H67=0,0,+ROUNDUP(IF(断面算定!$CZ$49&gt;=断面算定!$DC$49,+断面算定!$CZ$49,断面算定!$DC$49)*断面算定!$DF$49/H68,1))</f>
        <v>0</v>
      </c>
      <c r="I69" s="997">
        <f>IF(I67=0,0,+ROUNDUP(IF(断面算定!$CZ$52&gt;=断面算定!$DC$52,+断面算定!$CZ$52,断面算定!$DC$52)*断面算定!$DF$52/I68,1))</f>
        <v>0</v>
      </c>
      <c r="J69" s="997">
        <f>IF(J67=0,0,+ROUNDUP(IF(断面算定!$CZ$55&gt;=断面算定!$DC$55,+断面算定!$CZ$55,断面算定!$DC$55)*断面算定!$DF$55/J68,1))</f>
        <v>0</v>
      </c>
      <c r="K69" s="997">
        <f>IF(K67=0,0,+ROUNDUP(IF(断面算定!$CZ$58&gt;=断面算定!$DC$58,+断面算定!$CZ$58,断面算定!$DC$58)*断面算定!$DF$58/K68,1))</f>
        <v>0</v>
      </c>
      <c r="L69" s="997">
        <f>IF(L67=0,0,+ROUNDUP(IF(断面算定!$CZ$61&gt;=断面算定!$DC$61,+断面算定!$CZ$61,断面算定!$DC$61)*断面算定!$DF$61/L68,1))</f>
        <v>0</v>
      </c>
      <c r="M69" s="997">
        <f>IF(M67=0,0,+ROUNDUP(IF(断面算定!$CZ$64&gt;=断面算定!$DC$64,+断面算定!$CZ$64,断面算定!$DC$64)*断面算定!$DF$64/M68,1))</f>
        <v>0</v>
      </c>
      <c r="N69" s="1048">
        <f>IF(N67=0,0,+ROUNDUP(IF(断面算定!$CZ$68&gt;=断面算定!$DC$68,+断面算定!$CZ$68,断面算定!$DC$68)*断面算定!$DF$68/N68,1))</f>
        <v>0</v>
      </c>
      <c r="O69" s="1055"/>
      <c r="P69" s="401"/>
      <c r="Q69" s="401"/>
      <c r="R69" s="401"/>
      <c r="S69" s="30"/>
      <c r="T69" s="30"/>
      <c r="U69" s="30"/>
      <c r="V69" s="30"/>
      <c r="W69" s="30"/>
      <c r="X69" s="30"/>
    </row>
    <row r="70" spans="1:26" x14ac:dyDescent="0.15">
      <c r="A70" s="487"/>
      <c r="B70" s="1098"/>
      <c r="C70" s="1722"/>
      <c r="D70" s="1078" t="s">
        <v>194</v>
      </c>
      <c r="E70" s="1051">
        <f>IF(E69=0,0,+ROUND(E69/E54,2))</f>
        <v>0</v>
      </c>
      <c r="F70" s="1004">
        <f t="shared" ref="F70:N70" si="50">IF(F69=0,0,+ROUND(F69/F54,2))</f>
        <v>0</v>
      </c>
      <c r="G70" s="1004">
        <f t="shared" si="50"/>
        <v>0</v>
      </c>
      <c r="H70" s="1004">
        <f t="shared" si="50"/>
        <v>0</v>
      </c>
      <c r="I70" s="1004">
        <f t="shared" si="50"/>
        <v>0</v>
      </c>
      <c r="J70" s="1004">
        <f t="shared" si="50"/>
        <v>0</v>
      </c>
      <c r="K70" s="1004">
        <f t="shared" si="50"/>
        <v>0</v>
      </c>
      <c r="L70" s="1004">
        <f t="shared" si="50"/>
        <v>0</v>
      </c>
      <c r="M70" s="1004">
        <f t="shared" si="50"/>
        <v>0</v>
      </c>
      <c r="N70" s="1050">
        <f t="shared" si="50"/>
        <v>0</v>
      </c>
      <c r="O70" s="1055"/>
      <c r="P70" s="401"/>
      <c r="Q70" s="401"/>
      <c r="R70" s="401"/>
      <c r="S70" s="30"/>
      <c r="T70" s="30"/>
      <c r="U70" s="30"/>
      <c r="V70" s="30"/>
      <c r="W70" s="30"/>
      <c r="X70" s="30"/>
    </row>
    <row r="71" spans="1:26" x14ac:dyDescent="0.15">
      <c r="A71" s="487"/>
      <c r="B71" s="1098"/>
      <c r="C71" s="1297"/>
      <c r="D71" s="1107" t="s">
        <v>165</v>
      </c>
      <c r="E71" s="1066">
        <f>IF(E70=0,0,IF(E70&lt;=1,"OK!","NO!"))</f>
        <v>0</v>
      </c>
      <c r="F71" s="990">
        <f t="shared" ref="F71:N71" si="51">IF(F70=0,0,IF(F70&lt;=1,"OK!","NO!"))</f>
        <v>0</v>
      </c>
      <c r="G71" s="990">
        <f t="shared" si="51"/>
        <v>0</v>
      </c>
      <c r="H71" s="990">
        <f t="shared" si="51"/>
        <v>0</v>
      </c>
      <c r="I71" s="990">
        <f t="shared" si="51"/>
        <v>0</v>
      </c>
      <c r="J71" s="990">
        <f t="shared" si="51"/>
        <v>0</v>
      </c>
      <c r="K71" s="990">
        <f t="shared" si="51"/>
        <v>0</v>
      </c>
      <c r="L71" s="990">
        <f t="shared" si="51"/>
        <v>0</v>
      </c>
      <c r="M71" s="990">
        <f t="shared" si="51"/>
        <v>0</v>
      </c>
      <c r="N71" s="1054">
        <f t="shared" si="51"/>
        <v>0</v>
      </c>
      <c r="O71" s="520"/>
      <c r="P71" s="401"/>
      <c r="Q71" s="401"/>
      <c r="R71" s="401"/>
      <c r="S71" s="30"/>
      <c r="T71" s="30"/>
      <c r="U71" s="30"/>
      <c r="V71" s="30"/>
      <c r="W71" s="30"/>
      <c r="X71" s="30"/>
    </row>
    <row r="72" spans="1:26" x14ac:dyDescent="0.15">
      <c r="A72" s="487"/>
      <c r="B72" s="1098"/>
      <c r="C72" s="1056" t="s">
        <v>1530</v>
      </c>
      <c r="D72" s="1108" t="s">
        <v>1529</v>
      </c>
      <c r="E72" s="1051">
        <f>IF(E53=0,0,ROUNDUP(IF(断面算定!$DA$40&gt;=断面算定!$DD$40,断面算定!$DA$40,断面算定!$DD$40)*断面算定!$DG$40/E66,2))</f>
        <v>0</v>
      </c>
      <c r="F72" s="1004">
        <f>IF(F53=0,0,ROUNDUP(IF(断面算定!$DA$43&gt;=断面算定!$DD$43,断面算定!$DA$43,断面算定!$DD$43)*断面算定!$DG$43/F66,2))</f>
        <v>0</v>
      </c>
      <c r="G72" s="1004">
        <f>IF(G53=0,0,ROUNDUP(IF(断面算定!$DA$46&gt;=断面算定!$DD$46,断面算定!$DA$46,断面算定!$DD$46)*断面算定!$DG$46/G66,2))</f>
        <v>0</v>
      </c>
      <c r="H72" s="1004">
        <f>IF(H53=0,0,ROUNDUP(IF(断面算定!$DA$49&gt;=断面算定!$DD$49,断面算定!$DA$49,断面算定!$DD$49)*断面算定!$DG$49/H66,2))</f>
        <v>0</v>
      </c>
      <c r="I72" s="1004">
        <f>IF(I53=0,0,ROUNDUP(IF(断面算定!$DA$52&gt;=断面算定!$DD$52,断面算定!$DA$52,断面算定!$DD$52)*断面算定!$DG$52/I66,2))</f>
        <v>0</v>
      </c>
      <c r="J72" s="1004">
        <f>IF(J53=0,0,ROUNDUP(IF(断面算定!$DA$55&gt;=断面算定!$DD$55,断面算定!$DA$55,断面算定!$DD$55)*断面算定!$DG$55/J66,2))</f>
        <v>0</v>
      </c>
      <c r="K72" s="1004">
        <f>IF(K53=0,0,ROUNDUP(IF(断面算定!$DA$58&gt;=断面算定!$DD$58,断面算定!$DA$58,断面算定!$DD$58)*断面算定!$DG$58/K66,2))</f>
        <v>0</v>
      </c>
      <c r="L72" s="1004">
        <f>IF(L53=0,0,ROUNDUP(IF(断面算定!$DA$61&gt;=断面算定!$DD$61,断面算定!$DA$61,断面算定!$DD$61)*断面算定!$DG$61/L66,2))</f>
        <v>0</v>
      </c>
      <c r="M72" s="1004">
        <f>IF(M53=0,0,ROUNDUP(IF(断面算定!$DA$64&gt;=断面算定!$DD$64,断面算定!$DA$64,断面算定!$DD$64)*断面算定!$DG$64/M66,2))</f>
        <v>0</v>
      </c>
      <c r="N72" s="1050">
        <f>IF(N53=0,0,ROUNDUP(IF(断面算定!$DA$68&gt;=断面算定!$DD$68,断面算定!$DA$68,断面算定!$DD$68)*断面算定!$DG$68/N66,2))</f>
        <v>0</v>
      </c>
      <c r="O72" s="1072">
        <f>IF(O53=+"",0,ROUNDUP(5*#REF!/100*POWER(O59*100,4)/(384*O56*O66),2))</f>
        <v>0</v>
      </c>
      <c r="P72" s="401"/>
      <c r="Q72" s="401"/>
      <c r="R72" s="401"/>
      <c r="S72" s="30"/>
      <c r="T72" s="30"/>
      <c r="U72" s="30"/>
      <c r="V72" s="30"/>
      <c r="W72" s="30"/>
      <c r="X72" s="30"/>
    </row>
    <row r="73" spans="1:26" x14ac:dyDescent="0.15">
      <c r="A73" s="487"/>
      <c r="B73" s="1098"/>
      <c r="C73" s="988" t="s">
        <v>1321</v>
      </c>
      <c r="D73" s="984" t="s">
        <v>1322</v>
      </c>
      <c r="E73" s="1052">
        <f>IF(E53=0,0,断面算定!$DO40)</f>
        <v>0</v>
      </c>
      <c r="F73" s="1001">
        <f>IF(F53=0,0,断面算定!$DO43)</f>
        <v>0</v>
      </c>
      <c r="G73" s="1001">
        <f>IF(G53=0,0,断面算定!$DO46)</f>
        <v>0</v>
      </c>
      <c r="H73" s="1001">
        <f>IF(H53=0,0,断面算定!$DO49)</f>
        <v>0</v>
      </c>
      <c r="I73" s="1001">
        <f>IF(I53=0,0,断面算定!$DO52)</f>
        <v>0</v>
      </c>
      <c r="J73" s="1001">
        <f>IF(J53=0,0,断面算定!$DO55)</f>
        <v>0</v>
      </c>
      <c r="K73" s="1001">
        <f>IF(K53=0,0,断面算定!$DO58)</f>
        <v>0</v>
      </c>
      <c r="L73" s="1001">
        <f>IF(L53=0,0,断面算定!$DO61)</f>
        <v>0</v>
      </c>
      <c r="M73" s="1001">
        <f>IF(M53=0,0,断面算定!$DO64)</f>
        <v>0</v>
      </c>
      <c r="N73" s="1076">
        <f>IF(N53=0,0,断面算定!$DO68)</f>
        <v>0</v>
      </c>
      <c r="O73" s="1015">
        <f>IF(O53=+"",0,2)</f>
        <v>0</v>
      </c>
      <c r="P73" s="401"/>
      <c r="Q73" s="401"/>
      <c r="R73" s="401"/>
      <c r="S73" s="30"/>
      <c r="T73" s="30"/>
      <c r="U73" s="30"/>
      <c r="V73" s="30"/>
      <c r="W73" s="30"/>
      <c r="X73" s="30"/>
    </row>
    <row r="74" spans="1:26" ht="15" thickBot="1" x14ac:dyDescent="0.2">
      <c r="A74" s="487"/>
      <c r="B74" s="1099"/>
      <c r="C74" s="1100" t="s">
        <v>165</v>
      </c>
      <c r="D74" s="1109"/>
      <c r="E74" s="1103">
        <f>IF(E53=0,0,IF(E72&lt;=2,"OK!","NO!"))</f>
        <v>0</v>
      </c>
      <c r="F74" s="1101">
        <f t="shared" ref="F74:N74" si="52">IF(F53=0,0,IF(F72&lt;=2,"OK!","NO!"))</f>
        <v>0</v>
      </c>
      <c r="G74" s="1101">
        <f t="shared" si="52"/>
        <v>0</v>
      </c>
      <c r="H74" s="1101">
        <f t="shared" si="52"/>
        <v>0</v>
      </c>
      <c r="I74" s="1101">
        <f t="shared" si="52"/>
        <v>0</v>
      </c>
      <c r="J74" s="1101">
        <f t="shared" si="52"/>
        <v>0</v>
      </c>
      <c r="K74" s="1101">
        <f t="shared" si="52"/>
        <v>0</v>
      </c>
      <c r="L74" s="1101">
        <f t="shared" si="52"/>
        <v>0</v>
      </c>
      <c r="M74" s="1101">
        <f t="shared" si="52"/>
        <v>0</v>
      </c>
      <c r="N74" s="1102">
        <f t="shared" si="52"/>
        <v>0</v>
      </c>
      <c r="O74" s="1073">
        <f>IF(O53=+"",0,IF(O72&lt;=2,"OK!","NO!"))</f>
        <v>0</v>
      </c>
      <c r="P74" s="401"/>
      <c r="Q74" s="401"/>
      <c r="R74" s="401"/>
      <c r="S74" s="30"/>
      <c r="T74" s="30"/>
      <c r="U74" s="30"/>
      <c r="V74" s="30"/>
      <c r="W74" s="30"/>
      <c r="X74" s="30"/>
    </row>
    <row r="75" spans="1:26" ht="15" thickBot="1" x14ac:dyDescent="0.2">
      <c r="A75" s="487"/>
      <c r="B75" s="487"/>
      <c r="C75" s="487"/>
      <c r="D75" s="525"/>
      <c r="E75" s="525"/>
      <c r="F75" s="525"/>
      <c r="G75" s="525"/>
      <c r="H75" s="525"/>
      <c r="I75" s="525"/>
      <c r="J75" s="525"/>
      <c r="K75" s="487"/>
      <c r="L75" s="487"/>
      <c r="M75" s="487"/>
      <c r="N75" s="487"/>
      <c r="O75" s="487"/>
      <c r="P75" s="30"/>
      <c r="Q75" s="30"/>
      <c r="R75" s="30"/>
      <c r="S75" s="30"/>
      <c r="T75" s="30"/>
      <c r="U75" s="30"/>
      <c r="V75" s="30"/>
      <c r="W75" s="30"/>
      <c r="X75" s="30"/>
    </row>
    <row r="76" spans="1:26" ht="18.75" x14ac:dyDescent="0.15">
      <c r="A76" s="487"/>
      <c r="B76" s="1095" t="s">
        <v>1333</v>
      </c>
      <c r="C76" s="1111"/>
      <c r="D76" s="1104"/>
      <c r="E76" s="1717" t="s">
        <v>1535</v>
      </c>
      <c r="F76" s="1718"/>
      <c r="G76" s="1718"/>
      <c r="H76" s="1718"/>
      <c r="I76" s="1719"/>
      <c r="J76" s="1723" t="s">
        <v>1537</v>
      </c>
      <c r="K76" s="1724"/>
      <c r="L76" s="1724"/>
      <c r="M76" s="1724"/>
      <c r="N76" s="1725"/>
      <c r="O76" s="1077"/>
      <c r="P76" s="925"/>
      <c r="Q76" s="925"/>
      <c r="R76" s="925"/>
      <c r="S76" s="30"/>
      <c r="T76" s="30"/>
      <c r="U76" s="30"/>
      <c r="V76" s="30"/>
      <c r="W76" s="30"/>
      <c r="X76" s="30"/>
    </row>
    <row r="77" spans="1:26" x14ac:dyDescent="0.15">
      <c r="A77" s="487"/>
      <c r="B77" s="1097" t="s">
        <v>1334</v>
      </c>
      <c r="C77" s="1091"/>
      <c r="D77" s="1105"/>
      <c r="E77" s="1075" t="s">
        <v>1513</v>
      </c>
      <c r="F77" s="1039" t="s">
        <v>1514</v>
      </c>
      <c r="G77" s="921" t="s">
        <v>1515</v>
      </c>
      <c r="H77" s="921" t="s">
        <v>1516</v>
      </c>
      <c r="I77" s="1040" t="s">
        <v>1517</v>
      </c>
      <c r="J77" s="1075" t="s">
        <v>1513</v>
      </c>
      <c r="K77" s="1039" t="s">
        <v>1514</v>
      </c>
      <c r="L77" s="921" t="s">
        <v>1515</v>
      </c>
      <c r="M77" s="921" t="s">
        <v>1516</v>
      </c>
      <c r="N77" s="1040" t="s">
        <v>1517</v>
      </c>
      <c r="O77" s="1074"/>
      <c r="P77" s="925"/>
      <c r="Q77" s="925"/>
      <c r="R77" s="925"/>
      <c r="S77" s="30"/>
      <c r="T77" s="30"/>
      <c r="U77" s="30"/>
      <c r="V77" s="30"/>
      <c r="W77" s="30"/>
      <c r="X77" s="30"/>
    </row>
    <row r="78" spans="1:26" x14ac:dyDescent="0.15">
      <c r="A78" s="487"/>
      <c r="B78" s="1098"/>
      <c r="C78" s="993" t="s">
        <v>1299</v>
      </c>
      <c r="D78" s="1106"/>
      <c r="E78" s="1080">
        <f>+断面算定2!$K$15</f>
        <v>0</v>
      </c>
      <c r="F78" s="991">
        <f>+断面算定2!$K$21</f>
        <v>0</v>
      </c>
      <c r="G78" s="991">
        <f>+断面算定2!$K$27</f>
        <v>0</v>
      </c>
      <c r="H78" s="991">
        <f>+断面算定2!$K$33</f>
        <v>0</v>
      </c>
      <c r="I78" s="1079">
        <f>+断面算定2!$K$39</f>
        <v>0</v>
      </c>
      <c r="J78" s="1051">
        <f>+断面算定2!$L$57</f>
        <v>0</v>
      </c>
      <c r="K78" s="1004">
        <f>+断面算定2!$L$65</f>
        <v>0</v>
      </c>
      <c r="L78" s="1004">
        <f>+断面算定2!$L$73</f>
        <v>0</v>
      </c>
      <c r="M78" s="1004">
        <f>+断面算定2!$L$81</f>
        <v>0</v>
      </c>
      <c r="N78" s="1050">
        <f>+断面算定2!$L$89</f>
        <v>0</v>
      </c>
      <c r="O78" s="520"/>
      <c r="P78" s="126" t="str">
        <f>+""</f>
        <v/>
      </c>
      <c r="Q78" s="391"/>
      <c r="R78" s="126"/>
      <c r="S78" s="126"/>
      <c r="T78" s="391"/>
      <c r="U78" s="391"/>
      <c r="V78" s="30"/>
      <c r="W78" s="30"/>
      <c r="X78" s="30"/>
    </row>
    <row r="79" spans="1:26" ht="14.25" customHeight="1" x14ac:dyDescent="0.15">
      <c r="A79" s="487"/>
      <c r="B79" s="1098"/>
      <c r="C79" s="1679" t="s">
        <v>1302</v>
      </c>
      <c r="D79" s="1014" t="s">
        <v>1303</v>
      </c>
      <c r="E79" s="1043">
        <f>IF(E78=0,0,P80)</f>
        <v>0</v>
      </c>
      <c r="F79" s="1003">
        <f t="shared" ref="F79:N79" si="53">IF(F78=0,0,Q80)</f>
        <v>0</v>
      </c>
      <c r="G79" s="1003">
        <f t="shared" si="53"/>
        <v>0</v>
      </c>
      <c r="H79" s="1003">
        <f t="shared" si="53"/>
        <v>0</v>
      </c>
      <c r="I79" s="1042">
        <f t="shared" si="53"/>
        <v>0</v>
      </c>
      <c r="J79" s="1043">
        <f t="shared" si="53"/>
        <v>0</v>
      </c>
      <c r="K79" s="1003">
        <f t="shared" si="53"/>
        <v>0</v>
      </c>
      <c r="L79" s="1003">
        <f t="shared" si="53"/>
        <v>0</v>
      </c>
      <c r="M79" s="1003">
        <f t="shared" si="53"/>
        <v>0</v>
      </c>
      <c r="N79" s="1042">
        <f t="shared" si="53"/>
        <v>0</v>
      </c>
      <c r="O79" s="1070"/>
      <c r="P79" s="927">
        <f>IF(E78=+"",0,+VALUE(RIGHT(E78,4)))</f>
        <v>0</v>
      </c>
      <c r="Q79" s="927">
        <f t="shared" ref="Q79" si="54">IF(F78=+"",0,+VALUE(RIGHT(F78,4)))</f>
        <v>0</v>
      </c>
      <c r="R79" s="927">
        <f t="shared" ref="R79" si="55">IF(G78=+"",0,+VALUE(RIGHT(G78,4)))</f>
        <v>0</v>
      </c>
      <c r="S79" s="927">
        <f t="shared" ref="S79" si="56">IF(H78=+"",0,+VALUE(RIGHT(H78,4)))</f>
        <v>0</v>
      </c>
      <c r="T79" s="927">
        <f t="shared" ref="T79" si="57">IF(I78=+"",0,+VALUE(RIGHT(I78,4)))</f>
        <v>0</v>
      </c>
      <c r="U79" s="927">
        <f t="shared" ref="U79" si="58">IF(J78=+"",0,+VALUE(RIGHT(J78,4)))</f>
        <v>0</v>
      </c>
      <c r="V79" s="927">
        <f t="shared" ref="V79" si="59">IF(K78=+"",0,+VALUE(RIGHT(K78,4)))</f>
        <v>0</v>
      </c>
      <c r="W79" s="927">
        <f t="shared" ref="W79" si="60">IF(L78=+"",0,+VALUE(RIGHT(L78,4)))</f>
        <v>0</v>
      </c>
      <c r="X79" s="927">
        <f t="shared" ref="X79" si="61">IF(M78=+"",0,+VALUE(RIGHT(M78,4)))</f>
        <v>0</v>
      </c>
      <c r="Y79" s="927">
        <f t="shared" ref="Y79" si="62">IF(N78=+"",0,+VALUE(RIGHT(N78,4)))</f>
        <v>0</v>
      </c>
      <c r="Z79" s="927">
        <f t="shared" ref="Z79" si="63">IF(O78=+"",0,+VALUE(RIGHT(O78,4)))</f>
        <v>0</v>
      </c>
    </row>
    <row r="80" spans="1:26" x14ac:dyDescent="0.15">
      <c r="A80" s="487"/>
      <c r="B80" s="1098"/>
      <c r="C80" s="1305"/>
      <c r="D80" s="1014" t="s">
        <v>600</v>
      </c>
      <c r="E80" s="1043">
        <f>IF(E78=0,0,P81)</f>
        <v>0</v>
      </c>
      <c r="F80" s="1003">
        <f t="shared" ref="F80:N80" si="64">IF(F78=0,0,Q81)</f>
        <v>0</v>
      </c>
      <c r="G80" s="1003">
        <f t="shared" si="64"/>
        <v>0</v>
      </c>
      <c r="H80" s="1003">
        <f t="shared" si="64"/>
        <v>0</v>
      </c>
      <c r="I80" s="1042">
        <f t="shared" si="64"/>
        <v>0</v>
      </c>
      <c r="J80" s="1043">
        <f t="shared" si="64"/>
        <v>0</v>
      </c>
      <c r="K80" s="1003">
        <f t="shared" si="64"/>
        <v>0</v>
      </c>
      <c r="L80" s="1003">
        <f t="shared" si="64"/>
        <v>0</v>
      </c>
      <c r="M80" s="1003">
        <f t="shared" si="64"/>
        <v>0</v>
      </c>
      <c r="N80" s="1042">
        <f t="shared" si="64"/>
        <v>0</v>
      </c>
      <c r="O80" s="1070"/>
      <c r="P80" s="10" t="e">
        <f>IF(VALUE(RIGHT(断面算定!$G$3,4))=2,ROUND(VLOOKUP(P79,許容応力!$B$6:$K$22,7)*1.1/3*100,0),ROUND(VLOOKUP(P79,許容応力!$B$6:$K$22,7)*1.1/3*1.3*100,0))</f>
        <v>#N/A</v>
      </c>
      <c r="Q80" s="10" t="e">
        <f>IF(VALUE(RIGHT(断面算定!$G$3,4))=2,ROUND(VLOOKUP(Q79,許容応力!$B$6:$K$22,7)*1.1/3*100,0),ROUND(VLOOKUP(Q79,許容応力!$B$6:$K$22,7)*1.1/3*1.3*100,0))</f>
        <v>#N/A</v>
      </c>
      <c r="R80" s="10" t="e">
        <f>IF(VALUE(RIGHT(断面算定!$G$3,4))=2,ROUND(VLOOKUP(R79,許容応力!$B$6:$K$22,7)*1.1/3*100,0),ROUND(VLOOKUP(R79,許容応力!$B$6:$K$22,7)*1.1/3*1.3*100,0))</f>
        <v>#N/A</v>
      </c>
      <c r="S80" s="10" t="e">
        <f>IF(VALUE(RIGHT(断面算定!$G$3,4))=2,ROUND(VLOOKUP(S79,許容応力!$B$6:$K$22,7)*1.1/3*100,0),ROUND(VLOOKUP(S79,許容応力!$B$6:$K$22,7)*1.1/3*1.3*100,0))</f>
        <v>#N/A</v>
      </c>
      <c r="T80" s="10" t="e">
        <f>IF(VALUE(RIGHT(断面算定!$G$3,4))=2,ROUND(VLOOKUP(T79,許容応力!$B$6:$K$22,7)*1.1/3*100,0),ROUND(VLOOKUP(T79,許容応力!$B$6:$K$22,7)*1.1/3*1.3*100,0))</f>
        <v>#N/A</v>
      </c>
      <c r="U80" s="10" t="e">
        <f>IF(VALUE(RIGHT(断面算定!$G$3,4))=2,ROUND(VLOOKUP(U79,許容応力!$B$6:$K$22,7)*1.1/3*100,0),ROUND(VLOOKUP(U79,許容応力!$B$6:$K$22,7)*1.1/3*1.3*100,0))</f>
        <v>#N/A</v>
      </c>
      <c r="V80" s="10" t="e">
        <f>IF(VALUE(RIGHT(断面算定!$G$3,4))=2,ROUND(VLOOKUP(V79,許容応力!$B$6:$K$22,7)*1.1/3*100,0),ROUND(VLOOKUP(V79,許容応力!$B$6:$K$22,7)*1.1/3*1.3*100,0))</f>
        <v>#N/A</v>
      </c>
      <c r="W80" s="10" t="e">
        <f>IF(VALUE(RIGHT(断面算定!$G$3,4))=2,ROUND(VLOOKUP(W79,許容応力!$B$6:$K$22,7)*1.1/3*100,0),ROUND(VLOOKUP(W79,許容応力!$B$6:$K$22,7)*1.1/3*1.3*100,0))</f>
        <v>#N/A</v>
      </c>
      <c r="X80" s="10" t="e">
        <f>IF(VALUE(RIGHT(断面算定!$G$3,4))=2,ROUND(VLOOKUP(X79,許容応力!$B$6:$K$22,7)*1.1/3*100,0),ROUND(VLOOKUP(X79,許容応力!$B$6:$K$22,7)*1.1/3*1.3*100,0))</f>
        <v>#N/A</v>
      </c>
      <c r="Y80" s="10" t="e">
        <f>IF(VALUE(RIGHT(断面算定!$G$3,4))=2,ROUND(VLOOKUP(Y79,許容応力!$B$6:$K$22,7)*1.1/3*100,0),ROUND(VLOOKUP(Y79,許容応力!$B$6:$K$22,7)*1.1/3*1.3*100,0))</f>
        <v>#N/A</v>
      </c>
      <c r="Z80" s="10" t="e">
        <f>IF(VALUE(RIGHT(断面算定!$G$3,4))=2,ROUND(VLOOKUP(Z79,許容応力!$B$6:$K$22,7)*1.1/3*100,0),ROUND(VLOOKUP(Z79,許容応力!$B$6:$K$22,7)*1.1/3*1.3*100,0))</f>
        <v>#N/A</v>
      </c>
    </row>
    <row r="81" spans="1:47" x14ac:dyDescent="0.15">
      <c r="A81" s="487"/>
      <c r="B81" s="1098"/>
      <c r="C81" s="1305"/>
      <c r="D81" s="1014" t="s">
        <v>601</v>
      </c>
      <c r="E81" s="1043">
        <f>IF(E78=0,0,P82)</f>
        <v>0</v>
      </c>
      <c r="F81" s="1003">
        <f t="shared" ref="F81:N81" si="65">IF(F78=0,0,Q82)</f>
        <v>0</v>
      </c>
      <c r="G81" s="1003">
        <f t="shared" si="65"/>
        <v>0</v>
      </c>
      <c r="H81" s="1003">
        <f t="shared" si="65"/>
        <v>0</v>
      </c>
      <c r="I81" s="1042">
        <f t="shared" si="65"/>
        <v>0</v>
      </c>
      <c r="J81" s="1043">
        <f t="shared" si="65"/>
        <v>0</v>
      </c>
      <c r="K81" s="1003">
        <f t="shared" si="65"/>
        <v>0</v>
      </c>
      <c r="L81" s="1003">
        <f t="shared" si="65"/>
        <v>0</v>
      </c>
      <c r="M81" s="1003">
        <f t="shared" si="65"/>
        <v>0</v>
      </c>
      <c r="N81" s="1042">
        <f t="shared" si="65"/>
        <v>0</v>
      </c>
      <c r="O81" s="1070"/>
      <c r="P81" s="10" t="e">
        <f>IF(VALUE(RIGHT(断面算定!$G$3,4))=2,ROUND(VLOOKUP(P79,許容応力!$B$6:$K$22,8)*1.1/3*100,0),ROUND(VLOOKUP(P79,許容応力!$B$6:$K$22,8)*1.1/3*1.3*100,0))</f>
        <v>#N/A</v>
      </c>
      <c r="Q81" s="10" t="e">
        <f>IF(VALUE(RIGHT(断面算定!$G$3,4))=2,ROUND(VLOOKUP(Q79,許容応力!$B$6:$K$22,8)*1.1/3*100,0),ROUND(VLOOKUP(Q79,許容応力!$B$6:$K$22,8)*1.1/3*1.3*100,0))</f>
        <v>#N/A</v>
      </c>
      <c r="R81" s="10" t="e">
        <f>IF(VALUE(RIGHT(断面算定!$G$3,4))=2,ROUND(VLOOKUP(R79,許容応力!$B$6:$K$22,8)*1.1/3*100,0),ROUND(VLOOKUP(R79,許容応力!$B$6:$K$22,8)*1.1/3*1.3*100,0))</f>
        <v>#N/A</v>
      </c>
      <c r="S81" s="10" t="e">
        <f>IF(VALUE(RIGHT(断面算定!$G$3,4))=2,ROUND(VLOOKUP(S79,許容応力!$B$6:$K$22,8)*1.1/3*100,0),ROUND(VLOOKUP(S79,許容応力!$B$6:$K$22,8)*1.1/3*1.3*100,0))</f>
        <v>#N/A</v>
      </c>
      <c r="T81" s="10" t="e">
        <f>IF(VALUE(RIGHT(断面算定!$G$3,4))=2,ROUND(VLOOKUP(T79,許容応力!$B$6:$K$22,8)*1.1/3*100,0),ROUND(VLOOKUP(T79,許容応力!$B$6:$K$22,8)*1.1/3*1.3*100,0))</f>
        <v>#N/A</v>
      </c>
      <c r="U81" s="10" t="e">
        <f>IF(VALUE(RIGHT(断面算定!$G$3,4))=2,ROUND(VLOOKUP(U79,許容応力!$B$6:$K$22,8)*1.1/3*100,0),ROUND(VLOOKUP(U79,許容応力!$B$6:$K$22,8)*1.1/3*1.3*100,0))</f>
        <v>#N/A</v>
      </c>
      <c r="V81" s="10" t="e">
        <f>IF(VALUE(RIGHT(断面算定!$G$3,4))=2,ROUND(VLOOKUP(V79,許容応力!$B$6:$K$22,8)*1.1/3*100,0),ROUND(VLOOKUP(V79,許容応力!$B$6:$K$22,8)*1.1/3*1.3*100,0))</f>
        <v>#N/A</v>
      </c>
      <c r="W81" s="10" t="e">
        <f>IF(VALUE(RIGHT(断面算定!$G$3,4))=2,ROUND(VLOOKUP(W79,許容応力!$B$6:$K$22,8)*1.1/3*100,0),ROUND(VLOOKUP(W79,許容応力!$B$6:$K$22,8)*1.1/3*1.3*100,0))</f>
        <v>#N/A</v>
      </c>
      <c r="X81" s="10" t="e">
        <f>IF(VALUE(RIGHT(断面算定!$G$3,4))=2,ROUND(VLOOKUP(X79,許容応力!$B$6:$K$22,8)*1.1/3*100,0),ROUND(VLOOKUP(X79,許容応力!$B$6:$K$22,8)*1.1/3*1.3*100,0))</f>
        <v>#N/A</v>
      </c>
      <c r="Y81" s="10" t="e">
        <f>IF(VALUE(RIGHT(断面算定!$G$3,4))=2,ROUND(VLOOKUP(Y79,許容応力!$B$6:$K$22,8)*1.1/3*100,0),ROUND(VLOOKUP(Y79,許容応力!$B$6:$K$22,8)*1.1/3*1.3*100,0))</f>
        <v>#N/A</v>
      </c>
      <c r="Z81" s="10" t="e">
        <f>IF(VALUE(RIGHT(断面算定!$G$3,4))=2,ROUND(VLOOKUP(Z79,許容応力!$B$6:$K$22,8)*1.1/3*100,0),ROUND(VLOOKUP(Z79,許容応力!$B$6:$K$22,8)*1.1/3*1.3*100,0))</f>
        <v>#N/A</v>
      </c>
    </row>
    <row r="82" spans="1:47" x14ac:dyDescent="0.15">
      <c r="A82" s="487"/>
      <c r="B82" s="1098"/>
      <c r="C82" s="1305"/>
      <c r="D82" s="1014" t="s">
        <v>641</v>
      </c>
      <c r="E82" s="1043">
        <f>IF(E78=0,0,P83)</f>
        <v>0</v>
      </c>
      <c r="F82" s="1003">
        <f t="shared" ref="F82:N82" si="66">IF(F78=0,0,Q83)</f>
        <v>0</v>
      </c>
      <c r="G82" s="1003">
        <f t="shared" si="66"/>
        <v>0</v>
      </c>
      <c r="H82" s="1003">
        <f t="shared" si="66"/>
        <v>0</v>
      </c>
      <c r="I82" s="1042">
        <f t="shared" si="66"/>
        <v>0</v>
      </c>
      <c r="J82" s="1043">
        <f t="shared" si="66"/>
        <v>0</v>
      </c>
      <c r="K82" s="1003">
        <f t="shared" si="66"/>
        <v>0</v>
      </c>
      <c r="L82" s="1003">
        <f t="shared" si="66"/>
        <v>0</v>
      </c>
      <c r="M82" s="1003">
        <f t="shared" si="66"/>
        <v>0</v>
      </c>
      <c r="N82" s="1042">
        <f t="shared" si="66"/>
        <v>0</v>
      </c>
      <c r="O82" s="1070"/>
      <c r="P82" s="10" t="e">
        <f>ROUND(VLOOKUP(P79,許容応力!$B$6:$K$22,10)*100,0)</f>
        <v>#N/A</v>
      </c>
      <c r="Q82" s="10" t="e">
        <f>ROUND(VLOOKUP(Q79,許容応力!$B$6:$K$22,10)*100,0)</f>
        <v>#N/A</v>
      </c>
      <c r="R82" s="10" t="e">
        <f>ROUND(VLOOKUP(R79,許容応力!$B$6:$K$22,10)*100,0)</f>
        <v>#N/A</v>
      </c>
      <c r="S82" s="10" t="e">
        <f>ROUND(VLOOKUP(S79,許容応力!$B$6:$K$22,10)*100,0)</f>
        <v>#N/A</v>
      </c>
      <c r="T82" s="10" t="e">
        <f>ROUND(VLOOKUP(T79,許容応力!$B$6:$K$22,10)*100,0)</f>
        <v>#N/A</v>
      </c>
      <c r="U82" s="10" t="e">
        <f>ROUND(VLOOKUP(U79,許容応力!$B$6:$K$22,10)*100,0)</f>
        <v>#N/A</v>
      </c>
      <c r="V82" s="10" t="e">
        <f>ROUND(VLOOKUP(V79,許容応力!$B$6:$K$22,10)*100,0)</f>
        <v>#N/A</v>
      </c>
      <c r="W82" s="10" t="e">
        <f>ROUND(VLOOKUP(W79,許容応力!$B$6:$K$22,10)*100,0)</f>
        <v>#N/A</v>
      </c>
      <c r="X82" s="10" t="e">
        <f>ROUND(VLOOKUP(X79,許容応力!$B$6:$K$22,10)*100,0)</f>
        <v>#N/A</v>
      </c>
      <c r="Y82" s="10" t="e">
        <f>ROUND(VLOOKUP(Y79,許容応力!$B$6:$K$22,10)*100,0)</f>
        <v>#N/A</v>
      </c>
      <c r="Z82" s="10" t="e">
        <f>ROUND(VLOOKUP(Z79,許容応力!$B$6:$K$22,10)*100,0)</f>
        <v>#N/A</v>
      </c>
    </row>
    <row r="83" spans="1:47" x14ac:dyDescent="0.15">
      <c r="A83" s="487"/>
      <c r="B83" s="1098"/>
      <c r="C83" s="1276"/>
      <c r="D83" s="1014" t="s">
        <v>599</v>
      </c>
      <c r="E83" s="1043">
        <f>IF(E78=0,0,P84)</f>
        <v>0</v>
      </c>
      <c r="F83" s="1003">
        <f t="shared" ref="F83:N83" si="67">IF(F78=0,0,Q84)</f>
        <v>0</v>
      </c>
      <c r="G83" s="1003">
        <f t="shared" si="67"/>
        <v>0</v>
      </c>
      <c r="H83" s="1003">
        <f t="shared" si="67"/>
        <v>0</v>
      </c>
      <c r="I83" s="1042">
        <f t="shared" si="67"/>
        <v>0</v>
      </c>
      <c r="J83" s="1043">
        <f t="shared" si="67"/>
        <v>0</v>
      </c>
      <c r="K83" s="1003">
        <f t="shared" si="67"/>
        <v>0</v>
      </c>
      <c r="L83" s="1003">
        <f t="shared" si="67"/>
        <v>0</v>
      </c>
      <c r="M83" s="1003">
        <f t="shared" si="67"/>
        <v>0</v>
      </c>
      <c r="N83" s="1042">
        <f t="shared" si="67"/>
        <v>0</v>
      </c>
      <c r="O83" s="1070"/>
      <c r="P83" s="10" t="e">
        <f>IF(VALUE(RIGHT(断面算定!$G$3,4))=2,ROUND(VLOOKUP(P79,許容応力!$B$6:$K$22,6)*1.1/3*100,0),ROUND(VLOOKUP(P79,許容応力!$B$6:$K$22,6)*1.1/3*1.3*100,0))</f>
        <v>#N/A</v>
      </c>
      <c r="Q83" s="10" t="e">
        <f>IF(VALUE(RIGHT(断面算定!$G$3,4))=2,ROUND(VLOOKUP(Q79,許容応力!$B$6:$K$22,6)*1.1/3*100,0),ROUND(VLOOKUP(Q79,許容応力!$B$6:$K$22,6)*1.1/3*1.3*100,0))</f>
        <v>#N/A</v>
      </c>
      <c r="R83" s="10" t="e">
        <f>IF(VALUE(RIGHT(断面算定!$G$3,4))=2,ROUND(VLOOKUP(R79,許容応力!$B$6:$K$22,6)*1.1/3*100,0),ROUND(VLOOKUP(R79,許容応力!$B$6:$K$22,6)*1.1/3*1.3*100,0))</f>
        <v>#N/A</v>
      </c>
      <c r="S83" s="10" t="e">
        <f>IF(VALUE(RIGHT(断面算定!$G$3,4))=2,ROUND(VLOOKUP(S79,許容応力!$B$6:$K$22,6)*1.1/3*100,0),ROUND(VLOOKUP(S79,許容応力!$B$6:$K$22,6)*1.1/3*1.3*100,0))</f>
        <v>#N/A</v>
      </c>
      <c r="T83" s="10" t="e">
        <f>IF(VALUE(RIGHT(断面算定!$G$3,4))=2,ROUND(VLOOKUP(T79,許容応力!$B$6:$K$22,6)*1.1/3*100,0),ROUND(VLOOKUP(T79,許容応力!$B$6:$K$22,6)*1.1/3*1.3*100,0))</f>
        <v>#N/A</v>
      </c>
      <c r="U83" s="10" t="e">
        <f>IF(VALUE(RIGHT(断面算定!$G$3,4))=2,ROUND(VLOOKUP(U79,許容応力!$B$6:$K$22,6)*1.1/3*100,0),ROUND(VLOOKUP(U79,許容応力!$B$6:$K$22,6)*1.1/3*1.3*100,0))</f>
        <v>#N/A</v>
      </c>
      <c r="V83" s="10" t="e">
        <f>IF(VALUE(RIGHT(断面算定!$G$3,4))=2,ROUND(VLOOKUP(V79,許容応力!$B$6:$K$22,6)*1.1/3*100,0),ROUND(VLOOKUP(V79,許容応力!$B$6:$K$22,6)*1.1/3*1.3*100,0))</f>
        <v>#N/A</v>
      </c>
      <c r="W83" s="10" t="e">
        <f>IF(VALUE(RIGHT(断面算定!$G$3,4))=2,ROUND(VLOOKUP(W79,許容応力!$B$6:$K$22,6)*1.1/3*100,0),ROUND(VLOOKUP(W79,許容応力!$B$6:$K$22,6)*1.1/3*1.3*100,0))</f>
        <v>#N/A</v>
      </c>
      <c r="X83" s="10" t="e">
        <f>IF(VALUE(RIGHT(断面算定!$G$3,4))=2,ROUND(VLOOKUP(X79,許容応力!$B$6:$K$22,6)*1.1/3*100,0),ROUND(VLOOKUP(X79,許容応力!$B$6:$K$22,6)*1.1/3*1.3*100,0))</f>
        <v>#N/A</v>
      </c>
      <c r="Y83" s="10" t="e">
        <f>IF(VALUE(RIGHT(断面算定!$G$3,4))=2,ROUND(VLOOKUP(Y79,許容応力!$B$6:$K$22,6)*1.1/3*100,0),ROUND(VLOOKUP(Y79,許容応力!$B$6:$K$22,6)*1.1/3*1.3*100,0))</f>
        <v>#N/A</v>
      </c>
      <c r="Z83" s="10" t="e">
        <f>IF(VALUE(RIGHT(断面算定!$G$3,4))=2,ROUND(VLOOKUP(Z79,許容応力!$B$6:$K$22,6)*1.1/3*100,0),ROUND(VLOOKUP(Z79,許容応力!$B$6:$K$22,6)*1.1/3*1.3*100,0))</f>
        <v>#N/A</v>
      </c>
    </row>
    <row r="84" spans="1:47" x14ac:dyDescent="0.15">
      <c r="A84" s="487"/>
      <c r="B84" s="1098"/>
      <c r="C84" s="988" t="s">
        <v>1524</v>
      </c>
      <c r="D84" s="984" t="s">
        <v>475</v>
      </c>
      <c r="E84" s="1051">
        <f>+断面算定2!$K$19</f>
        <v>0</v>
      </c>
      <c r="F84" s="1004">
        <f>+断面算定2!$K$25</f>
        <v>0</v>
      </c>
      <c r="G84" s="1004">
        <f>+断面算定2!$K$31</f>
        <v>0</v>
      </c>
      <c r="H84" s="1004">
        <f>+断面算定2!$K$37</f>
        <v>0</v>
      </c>
      <c r="I84" s="1050">
        <f>+断面算定2!$K$43</f>
        <v>0</v>
      </c>
      <c r="J84" s="1051">
        <f>+断面算定2!$M$62</f>
        <v>0</v>
      </c>
      <c r="K84" s="1004">
        <f>+断面算定2!$M$70</f>
        <v>0</v>
      </c>
      <c r="L84" s="1004">
        <f>+断面算定2!$M$78</f>
        <v>0</v>
      </c>
      <c r="M84" s="1004">
        <f>+断面算定2!$M$86</f>
        <v>0</v>
      </c>
      <c r="N84" s="1050">
        <f>+断面算定2!$M$94</f>
        <v>0</v>
      </c>
      <c r="O84" s="1072"/>
      <c r="P84" s="10" t="e">
        <f>IF(VALUE(RIGHT(断面算定!$G$3,4))=2,ROUND(VLOOKUP(P79,許容応力!$B$6:$K$22,5)*1.1/3*100,0),ROUND(VLOOKUP(P79,許容応力!$B$6:$K$22,5)*1.1/3*1.3*100,0))</f>
        <v>#N/A</v>
      </c>
      <c r="Q84" s="10" t="e">
        <f>IF(VALUE(RIGHT(断面算定!$G$3,4))=2,ROUND(VLOOKUP(Q79,許容応力!$B$6:$K$22,5)*1.1/3*100,0),ROUND(VLOOKUP(Q79,許容応力!$B$6:$K$22,5)*1.1/3*1.3*100,0))</f>
        <v>#N/A</v>
      </c>
      <c r="R84" s="10" t="e">
        <f>IF(VALUE(RIGHT(断面算定!$G$3,4))=2,ROUND(VLOOKUP(R79,許容応力!$B$6:$K$22,5)*1.1/3*100,0),ROUND(VLOOKUP(R79,許容応力!$B$6:$K$22,5)*1.1/3*1.3*100,0))</f>
        <v>#N/A</v>
      </c>
      <c r="S84" s="10" t="e">
        <f>IF(VALUE(RIGHT(断面算定!$G$3,4))=2,ROUND(VLOOKUP(S79,許容応力!$B$6:$K$22,5)*1.1/3*100,0),ROUND(VLOOKUP(S79,許容応力!$B$6:$K$22,5)*1.1/3*1.3*100,0))</f>
        <v>#N/A</v>
      </c>
      <c r="T84" s="10" t="e">
        <f>IF(VALUE(RIGHT(断面算定!$G$3,4))=2,ROUND(VLOOKUP(T79,許容応力!$B$6:$K$22,5)*1.1/3*100,0),ROUND(VLOOKUP(T79,許容応力!$B$6:$K$22,5)*1.1/3*1.3*100,0))</f>
        <v>#N/A</v>
      </c>
      <c r="U84" s="10" t="e">
        <f>IF(VALUE(RIGHT(断面算定!$G$3,4))=2,ROUND(VLOOKUP(U79,許容応力!$B$6:$K$22,5)*1.1/3*100,0),ROUND(VLOOKUP(U79,許容応力!$B$6:$K$22,5)*1.1/3*1.3*100,0))</f>
        <v>#N/A</v>
      </c>
      <c r="V84" s="10" t="e">
        <f>IF(VALUE(RIGHT(断面算定!$G$3,4))=2,ROUND(VLOOKUP(V79,許容応力!$B$6:$K$22,5)*1.1/3*100,0),ROUND(VLOOKUP(V79,許容応力!$B$6:$K$22,5)*1.1/3*1.3*100,0))</f>
        <v>#N/A</v>
      </c>
      <c r="W84" s="10" t="e">
        <f>IF(VALUE(RIGHT(断面算定!$G$3,4))=2,ROUND(VLOOKUP(W79,許容応力!$B$6:$K$22,5)*1.1/3*100,0),ROUND(VLOOKUP(W79,許容応力!$B$6:$K$22,5)*1.1/3*1.3*100,0))</f>
        <v>#N/A</v>
      </c>
      <c r="X84" s="10" t="e">
        <f>IF(VALUE(RIGHT(断面算定!$G$3,4))=2,ROUND(VLOOKUP(X79,許容応力!$B$6:$K$22,5)*1.1/3*100,0),ROUND(VLOOKUP(X79,許容応力!$B$6:$K$22,5)*1.1/3*1.3*100,0))</f>
        <v>#N/A</v>
      </c>
      <c r="Y84" s="10" t="e">
        <f>IF(VALUE(RIGHT(断面算定!$G$3,4))=2,ROUND(VLOOKUP(Y79,許容応力!$B$6:$K$22,5)*1.1/3*100,0),ROUND(VLOOKUP(Y79,許容応力!$B$6:$K$22,5)*1.1/3*1.3*100,0))</f>
        <v>#N/A</v>
      </c>
      <c r="Z84" s="10" t="e">
        <f>IF(VALUE(RIGHT(断面算定!$G$3,4))=2,ROUND(VLOOKUP(Z79,許容応力!$B$6:$K$22,5)*1.1/3*100,0),ROUND(VLOOKUP(Z79,許容応力!$B$6:$K$22,5)*1.1/3*1.3*100,0))</f>
        <v>#N/A</v>
      </c>
    </row>
    <row r="85" spans="1:47" x14ac:dyDescent="0.15">
      <c r="A85" s="487"/>
      <c r="B85" s="1098"/>
      <c r="C85" s="1721" t="s">
        <v>1337</v>
      </c>
      <c r="D85" s="984" t="s">
        <v>1331</v>
      </c>
      <c r="E85" s="1052">
        <f>+断面算定2!$L$15/10</f>
        <v>0</v>
      </c>
      <c r="F85" s="1001">
        <f>+断面算定2!$L$21/10</f>
        <v>0</v>
      </c>
      <c r="G85" s="1001">
        <f>+断面算定2!$L$27/10</f>
        <v>0</v>
      </c>
      <c r="H85" s="1001">
        <f>+断面算定2!$L$33/10</f>
        <v>0</v>
      </c>
      <c r="I85" s="1076">
        <f>+断面算定2!$L$39/10</f>
        <v>0</v>
      </c>
      <c r="J85" s="1052">
        <f>+断面算定2!$M$57/10</f>
        <v>0</v>
      </c>
      <c r="K85" s="1001">
        <f>+断面算定2!$M$65/10</f>
        <v>0</v>
      </c>
      <c r="L85" s="1001">
        <f>+断面算定2!$M$73/10</f>
        <v>0</v>
      </c>
      <c r="M85" s="1001">
        <f>+断面算定2!$M$81/10</f>
        <v>0</v>
      </c>
      <c r="N85" s="1076">
        <f>+断面算定2!$M$89/10</f>
        <v>0</v>
      </c>
      <c r="O85" s="1084"/>
      <c r="P85" s="7"/>
      <c r="Q85" s="7"/>
      <c r="R85" s="7"/>
      <c r="S85" s="30"/>
      <c r="T85" s="30"/>
      <c r="U85" s="30"/>
      <c r="V85" s="30"/>
      <c r="W85" s="30"/>
      <c r="X85" s="30"/>
    </row>
    <row r="86" spans="1:47" x14ac:dyDescent="0.15">
      <c r="A86" s="487"/>
      <c r="B86" s="1098"/>
      <c r="C86" s="1306"/>
      <c r="D86" s="984" t="s">
        <v>1525</v>
      </c>
      <c r="E86" s="1110">
        <v>24</v>
      </c>
      <c r="F86" s="926"/>
      <c r="G86" s="930"/>
      <c r="H86" s="930"/>
      <c r="I86" s="1044"/>
      <c r="J86" s="1045">
        <v>24</v>
      </c>
      <c r="K86" s="930"/>
      <c r="L86" s="930"/>
      <c r="M86" s="930"/>
      <c r="N86" s="1044"/>
      <c r="O86" s="1084"/>
      <c r="P86" s="15"/>
      <c r="Q86" s="15"/>
      <c r="R86" s="15"/>
      <c r="S86" s="30"/>
      <c r="T86" s="30"/>
      <c r="U86" s="30"/>
      <c r="V86" s="30"/>
      <c r="W86" s="30"/>
      <c r="X86" s="30"/>
    </row>
    <row r="87" spans="1:47" x14ac:dyDescent="0.15">
      <c r="A87" s="487"/>
      <c r="B87" s="1098"/>
      <c r="C87" s="1722"/>
      <c r="D87" s="984" t="s">
        <v>1526</v>
      </c>
      <c r="E87" s="1110">
        <v>12</v>
      </c>
      <c r="F87" s="926"/>
      <c r="G87" s="930"/>
      <c r="H87" s="930"/>
      <c r="I87" s="1044"/>
      <c r="J87" s="1045">
        <v>12</v>
      </c>
      <c r="K87" s="930"/>
      <c r="L87" s="930"/>
      <c r="M87" s="930"/>
      <c r="N87" s="1044"/>
      <c r="O87" s="1084"/>
      <c r="P87" s="15"/>
      <c r="Q87" s="15"/>
      <c r="R87" s="15"/>
      <c r="S87" s="30"/>
      <c r="T87" s="30"/>
      <c r="U87" s="30"/>
      <c r="V87" s="30"/>
      <c r="W87" s="30"/>
      <c r="X87" s="30"/>
    </row>
    <row r="88" spans="1:47" x14ac:dyDescent="0.15">
      <c r="A88" s="487"/>
      <c r="B88" s="1098"/>
      <c r="C88" s="1297"/>
      <c r="D88" s="984" t="s">
        <v>1527</v>
      </c>
      <c r="E88" s="1110"/>
      <c r="F88" s="926"/>
      <c r="G88" s="930"/>
      <c r="H88" s="930"/>
      <c r="I88" s="1044"/>
      <c r="J88" s="1045"/>
      <c r="K88" s="930"/>
      <c r="L88" s="930"/>
      <c r="M88" s="930"/>
      <c r="N88" s="1044"/>
      <c r="O88" s="1084"/>
      <c r="P88" s="15"/>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30"/>
    </row>
    <row r="89" spans="1:47" x14ac:dyDescent="0.15">
      <c r="A89" s="487"/>
      <c r="B89" s="1098"/>
      <c r="C89" s="994" t="s">
        <v>1338</v>
      </c>
      <c r="D89" s="1106"/>
      <c r="E89" s="1047" t="s">
        <v>1339</v>
      </c>
      <c r="F89" s="931" t="s">
        <v>853</v>
      </c>
      <c r="G89" s="931" t="s">
        <v>853</v>
      </c>
      <c r="H89" s="931" t="s">
        <v>853</v>
      </c>
      <c r="I89" s="1046" t="s">
        <v>853</v>
      </c>
      <c r="J89" s="1047" t="s">
        <v>1339</v>
      </c>
      <c r="K89" s="931" t="s">
        <v>853</v>
      </c>
      <c r="L89" s="931" t="s">
        <v>853</v>
      </c>
      <c r="M89" s="931" t="s">
        <v>853</v>
      </c>
      <c r="N89" s="1046" t="s">
        <v>853</v>
      </c>
      <c r="O89" s="1085"/>
      <c r="P89" s="15"/>
      <c r="Q89" s="15"/>
      <c r="R89" s="15"/>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row>
    <row r="90" spans="1:47" x14ac:dyDescent="0.15">
      <c r="A90" s="487"/>
      <c r="B90" s="1098"/>
      <c r="C90" s="1721" t="s">
        <v>1528</v>
      </c>
      <c r="D90" s="984" t="s">
        <v>292</v>
      </c>
      <c r="E90" s="1049">
        <f>ROUNDUP(E85*+POWER((E86+E87+E88),3)/12,0)</f>
        <v>0</v>
      </c>
      <c r="F90" s="997">
        <f t="shared" ref="F90:N90" si="68">ROUNDUP(F85*+POWER((F86+F87+F88),3)/12,0)</f>
        <v>0</v>
      </c>
      <c r="G90" s="997">
        <f t="shared" si="68"/>
        <v>0</v>
      </c>
      <c r="H90" s="997">
        <f t="shared" si="68"/>
        <v>0</v>
      </c>
      <c r="I90" s="1048">
        <f t="shared" si="68"/>
        <v>0</v>
      </c>
      <c r="J90" s="1049">
        <f t="shared" si="68"/>
        <v>0</v>
      </c>
      <c r="K90" s="997">
        <f t="shared" si="68"/>
        <v>0</v>
      </c>
      <c r="L90" s="997">
        <f t="shared" si="68"/>
        <v>0</v>
      </c>
      <c r="M90" s="997">
        <f t="shared" si="68"/>
        <v>0</v>
      </c>
      <c r="N90" s="1048">
        <f t="shared" si="68"/>
        <v>0</v>
      </c>
      <c r="O90" s="1055"/>
      <c r="P90" s="924"/>
      <c r="Q90" s="924"/>
      <c r="R90" s="924"/>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row>
    <row r="91" spans="1:47" x14ac:dyDescent="0.15">
      <c r="A91" s="487"/>
      <c r="B91" s="1098"/>
      <c r="C91" s="1722"/>
      <c r="D91" s="984" t="s">
        <v>1341</v>
      </c>
      <c r="E91" s="1049">
        <f>ROUNDUP(E90*E465,0)</f>
        <v>0</v>
      </c>
      <c r="F91" s="997">
        <f t="shared" ref="F91:N91" si="69">ROUNDUP(F90*F465,0)</f>
        <v>0</v>
      </c>
      <c r="G91" s="997">
        <f t="shared" si="69"/>
        <v>0</v>
      </c>
      <c r="H91" s="997">
        <f t="shared" si="69"/>
        <v>0</v>
      </c>
      <c r="I91" s="1048">
        <f t="shared" si="69"/>
        <v>0</v>
      </c>
      <c r="J91" s="1049">
        <f t="shared" si="69"/>
        <v>0</v>
      </c>
      <c r="K91" s="997">
        <f t="shared" si="69"/>
        <v>0</v>
      </c>
      <c r="L91" s="997">
        <f t="shared" si="69"/>
        <v>0</v>
      </c>
      <c r="M91" s="997">
        <f t="shared" si="69"/>
        <v>0</v>
      </c>
      <c r="N91" s="1048">
        <f t="shared" si="69"/>
        <v>0</v>
      </c>
      <c r="O91" s="1055"/>
      <c r="P91" s="401"/>
      <c r="Q91" s="401"/>
      <c r="R91" s="401"/>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row>
    <row r="92" spans="1:47" x14ac:dyDescent="0.15">
      <c r="A92" s="487"/>
      <c r="B92" s="1098"/>
      <c r="C92" s="1722"/>
      <c r="D92" s="984" t="s">
        <v>291</v>
      </c>
      <c r="E92" s="1065">
        <f>ROUNDUP(E85*+POWER((E86+E87+E88),2)/6,0)</f>
        <v>0</v>
      </c>
      <c r="F92" s="1005">
        <f t="shared" ref="F92:N92" si="70">ROUNDUP(F85*+POWER((F86+F87+F88),2)/6,0)</f>
        <v>0</v>
      </c>
      <c r="G92" s="1005">
        <f t="shared" si="70"/>
        <v>0</v>
      </c>
      <c r="H92" s="1005">
        <f t="shared" si="70"/>
        <v>0</v>
      </c>
      <c r="I92" s="1053">
        <f t="shared" si="70"/>
        <v>0</v>
      </c>
      <c r="J92" s="1065">
        <f t="shared" si="70"/>
        <v>0</v>
      </c>
      <c r="K92" s="1005">
        <f t="shared" si="70"/>
        <v>0</v>
      </c>
      <c r="L92" s="1005">
        <f t="shared" si="70"/>
        <v>0</v>
      </c>
      <c r="M92" s="1005">
        <f t="shared" si="70"/>
        <v>0</v>
      </c>
      <c r="N92" s="1053">
        <f t="shared" si="70"/>
        <v>0</v>
      </c>
      <c r="O92" s="1055"/>
      <c r="P92" s="401"/>
      <c r="Q92" s="401"/>
      <c r="R92" s="401"/>
      <c r="S92" s="30"/>
      <c r="T92" s="30"/>
      <c r="U92" s="30"/>
      <c r="V92" s="30"/>
      <c r="W92" s="30"/>
      <c r="X92" s="30"/>
    </row>
    <row r="93" spans="1:47" x14ac:dyDescent="0.15">
      <c r="A93" s="487"/>
      <c r="B93" s="1098"/>
      <c r="C93" s="1722"/>
      <c r="D93" s="984" t="s">
        <v>1344</v>
      </c>
      <c r="E93" s="1065">
        <f>ROUNDUP(E92*E466,0)</f>
        <v>0</v>
      </c>
      <c r="F93" s="1005">
        <f t="shared" ref="F93:N93" si="71">ROUNDUP(F92*F466,0)</f>
        <v>0</v>
      </c>
      <c r="G93" s="1005">
        <f t="shared" si="71"/>
        <v>0</v>
      </c>
      <c r="H93" s="1005">
        <f t="shared" si="71"/>
        <v>0</v>
      </c>
      <c r="I93" s="1053">
        <f t="shared" si="71"/>
        <v>0</v>
      </c>
      <c r="J93" s="1065">
        <f t="shared" si="71"/>
        <v>0</v>
      </c>
      <c r="K93" s="1005">
        <f t="shared" si="71"/>
        <v>0</v>
      </c>
      <c r="L93" s="1005">
        <f t="shared" si="71"/>
        <v>0</v>
      </c>
      <c r="M93" s="1005">
        <f t="shared" si="71"/>
        <v>0</v>
      </c>
      <c r="N93" s="1053">
        <f t="shared" si="71"/>
        <v>0</v>
      </c>
      <c r="O93" s="1055"/>
      <c r="P93" s="401"/>
      <c r="Q93" s="401"/>
      <c r="R93" s="401"/>
      <c r="S93" s="30"/>
      <c r="T93" s="30"/>
      <c r="U93" s="30"/>
      <c r="V93" s="30"/>
      <c r="W93" s="30"/>
      <c r="X93" s="30"/>
    </row>
    <row r="94" spans="1:47" x14ac:dyDescent="0.15">
      <c r="A94" s="487"/>
      <c r="B94" s="1098"/>
      <c r="C94" s="1722"/>
      <c r="D94" s="984" t="s">
        <v>1345</v>
      </c>
      <c r="E94" s="1049">
        <f>IF(E92=0,0,+ROUNDUP(IF(断面算定2!$BF$18&gt;=断面算定2!$BI$18,断面算定2!$BF$18,断面算定2!$BI$18)*断面算定2!$BL$18/E93,1))</f>
        <v>0</v>
      </c>
      <c r="F94" s="997">
        <f>IF(F92=0,0,+ROUNDUP(IF(断面算定2!$BF$24&gt;=断面算定2!$BI$24,断面算定2!$BF$24,断面算定2!$BI$24)*断面算定2!$BL$24/F93,1))</f>
        <v>0</v>
      </c>
      <c r="G94" s="997">
        <f>IF(G92=0,0,+ROUNDUP(IF(断面算定2!$BF$30&gt;=断面算定2!$BI$30,断面算定2!$BF$30,断面算定2!$BI$30)*断面算定2!$BL$30/G93,1))</f>
        <v>0</v>
      </c>
      <c r="H94" s="997">
        <f>IF(H92=0,0,+ROUNDUP(IF(断面算定2!$BF$36&gt;=断面算定2!$BI$36,断面算定2!$BF$36,断面算定2!$BI$36)*断面算定2!$BL$36/H93,1))</f>
        <v>0</v>
      </c>
      <c r="I94" s="1048">
        <f>IF(I92=0,0,+ROUNDUP(IF(断面算定2!$BF$42&gt;=断面算定2!$BI$42,断面算定2!$BF$42,断面算定2!$BI$42)*断面算定2!$BL$42/I93,1))</f>
        <v>0</v>
      </c>
      <c r="J94" s="1049">
        <f>IF(J92=0,0,+ROUNDUP(IF(断面算定2!$BE$61&gt;=断面算定2!$BH$61,断面算定2!$BE$61,断面算定2!$BH$61)*断面算定2!$BK$61/J93,1))</f>
        <v>0</v>
      </c>
      <c r="K94" s="997">
        <f>IF(K92=0,0,+ROUNDUP(IF(断面算定2!$BE$69&gt;=断面算定2!$BH$69,断面算定2!$BE$69,断面算定2!$BH$69)*断面算定2!$BK$69/K93,1))</f>
        <v>0</v>
      </c>
      <c r="L94" s="997">
        <f>IF(L92=0,0,+ROUNDUP(IF(断面算定2!$BE$77&gt;=断面算定2!$BH$77,断面算定2!$BE$77,断面算定2!$BH$77)*断面算定2!$BK$77/L93,1))</f>
        <v>0</v>
      </c>
      <c r="M94" s="997">
        <f>IF(M92=0,0,+ROUNDUP(IF(断面算定2!$BE$85&gt;=断面算定2!$BH$85,断面算定2!$BE$85,断面算定2!$BH$85)*断面算定2!$BK$85/M93,1))</f>
        <v>0</v>
      </c>
      <c r="N94" s="1048">
        <f>IF(N92=0,0,+ROUNDUP(IF(断面算定2!$BE$93&gt;=断面算定2!$BH$93,断面算定2!$BE$93,断面算定2!$BH$93)*断面算定2!$BK$93/N93,1))</f>
        <v>0</v>
      </c>
      <c r="O94" s="1055"/>
      <c r="P94" s="401"/>
      <c r="Q94" s="401"/>
      <c r="R94" s="401"/>
      <c r="S94" s="30"/>
      <c r="T94" s="30"/>
      <c r="U94" s="30"/>
      <c r="V94" s="30"/>
      <c r="W94" s="30"/>
      <c r="X94" s="30"/>
    </row>
    <row r="95" spans="1:47" x14ac:dyDescent="0.15">
      <c r="A95" s="487"/>
      <c r="B95" s="1098"/>
      <c r="C95" s="1722"/>
      <c r="D95" s="1078" t="s">
        <v>194</v>
      </c>
      <c r="E95" s="1051">
        <f>IF(E94=0,0,+ROUND(E94/E79,2))</f>
        <v>0</v>
      </c>
      <c r="F95" s="1004">
        <f t="shared" ref="F95:J95" si="72">IF(F94=0,0,+ROUND(F94/F79,2))</f>
        <v>0</v>
      </c>
      <c r="G95" s="1004">
        <f t="shared" si="72"/>
        <v>0</v>
      </c>
      <c r="H95" s="1004">
        <f t="shared" si="72"/>
        <v>0</v>
      </c>
      <c r="I95" s="1050">
        <f t="shared" si="72"/>
        <v>0</v>
      </c>
      <c r="J95" s="1051">
        <f t="shared" si="72"/>
        <v>0</v>
      </c>
      <c r="K95" s="1004">
        <f t="shared" ref="K95" si="73">IF(K94=0,0,+ROUND(K94/K79,2))</f>
        <v>0</v>
      </c>
      <c r="L95" s="1004">
        <f t="shared" ref="L95" si="74">IF(L94=0,0,+ROUND(L94/L79,2))</f>
        <v>0</v>
      </c>
      <c r="M95" s="1004">
        <f t="shared" ref="M95" si="75">IF(M94=0,0,+ROUND(M94/M79,2))</f>
        <v>0</v>
      </c>
      <c r="N95" s="1050">
        <f t="shared" ref="N95" si="76">IF(N94=0,0,+ROUND(N94/N79,2))</f>
        <v>0</v>
      </c>
      <c r="O95" s="1055"/>
      <c r="P95" s="401"/>
      <c r="Q95" s="401"/>
      <c r="R95" s="401"/>
      <c r="S95" s="30"/>
      <c r="T95" s="30"/>
      <c r="U95" s="30"/>
      <c r="V95" s="30"/>
      <c r="W95" s="30"/>
      <c r="X95" s="30"/>
    </row>
    <row r="96" spans="1:47" x14ac:dyDescent="0.15">
      <c r="A96" s="487"/>
      <c r="B96" s="1098"/>
      <c r="C96" s="1297"/>
      <c r="D96" s="1107" t="s">
        <v>165</v>
      </c>
      <c r="E96" s="1066">
        <f>IF(E95=0,0,IF(E95&lt;=1,"OK!","NO!"))</f>
        <v>0</v>
      </c>
      <c r="F96" s="990">
        <f t="shared" ref="F96:N96" si="77">IF(F95=0,0,IF(F95&lt;=1,"OK!","NO!"))</f>
        <v>0</v>
      </c>
      <c r="G96" s="990">
        <f t="shared" si="77"/>
        <v>0</v>
      </c>
      <c r="H96" s="990">
        <f t="shared" si="77"/>
        <v>0</v>
      </c>
      <c r="I96" s="1054">
        <f t="shared" si="77"/>
        <v>0</v>
      </c>
      <c r="J96" s="1066">
        <f t="shared" si="77"/>
        <v>0</v>
      </c>
      <c r="K96" s="990">
        <f t="shared" si="77"/>
        <v>0</v>
      </c>
      <c r="L96" s="990">
        <f t="shared" si="77"/>
        <v>0</v>
      </c>
      <c r="M96" s="990">
        <f t="shared" si="77"/>
        <v>0</v>
      </c>
      <c r="N96" s="1054">
        <f t="shared" si="77"/>
        <v>0</v>
      </c>
      <c r="O96" s="520"/>
      <c r="P96" s="401"/>
      <c r="Q96" s="401"/>
      <c r="R96" s="401"/>
      <c r="S96" s="30"/>
      <c r="T96" s="30"/>
      <c r="U96" s="30"/>
      <c r="V96" s="30"/>
      <c r="W96" s="30"/>
      <c r="X96" s="30"/>
    </row>
    <row r="97" spans="1:26" x14ac:dyDescent="0.15">
      <c r="A97" s="487"/>
      <c r="B97" s="1098"/>
      <c r="C97" s="1056" t="s">
        <v>1530</v>
      </c>
      <c r="D97" s="1108" t="s">
        <v>1529</v>
      </c>
      <c r="E97" s="1051">
        <f>IF(E78=0,0,ROUNDUP(IF(断面算定2!$BG$18&gt;=断面算定2!$BJ$18,断面算定2!$BG$18,断面算定2!$BJ$18)*断面算定2!$AU$19/E91,2))</f>
        <v>0</v>
      </c>
      <c r="F97" s="1004">
        <f>IF(F78=0,0,ROUNDUP(IF(断面算定2!$BG$24&gt;=断面算定2!$BJ$24,断面算定2!$BG$24,断面算定2!$BJ$24)*断面算定2!$AU$25/F91,2))</f>
        <v>0</v>
      </c>
      <c r="G97" s="1004">
        <f>IF(G78=0,0,ROUNDUP(IF(断面算定2!$BG$30&gt;=断面算定2!$BJ$30,断面算定2!$BG$30,断面算定2!$BJ$30)*断面算定2!$AU$31/G91,2))</f>
        <v>0</v>
      </c>
      <c r="H97" s="1004">
        <f>IF(H78=0,0,ROUNDUP(IF(断面算定2!$BG$36&gt;=断面算定2!$BJ$36,断面算定2!$BG$36,断面算定2!$BJ$36)*断面算定2!$AU$37/H91,2))</f>
        <v>0</v>
      </c>
      <c r="I97" s="1050">
        <f>IF(I78=0,0,ROUNDUP(IF(断面算定2!$BG$42&gt;=断面算定2!$BJ$42,断面算定2!$BG$42,断面算定2!$BJ$42)*断面算定2!$AU$43/I91,2))</f>
        <v>0</v>
      </c>
      <c r="J97" s="1051">
        <f>IF(J78=0,0,ROUNDUP((IF(断面算定2!$BQ$59&gt;=断面算定2!$BS$59,断面算定2!$BQ$59,断面算定2!$BS$59)+断面算定2!$CC$60+IF(断面算定2!$DC$59&gt;=断面算定2!$DD$59,断面算定2!$DC$59,断面算定2!$DD$59))/J91,2))</f>
        <v>0</v>
      </c>
      <c r="K97" s="1004">
        <f>IF(K78=0,0,ROUNDUP((IF(断面算定2!$BQ$67&gt;=断面算定2!$BS$67,断面算定2!$BQ$67,断面算定2!$BS$67)+断面算定2!$CC$68+IF(断面算定2!$DC$67&gt;=断面算定2!$DD$67,断面算定2!$DC$67,断面算定2!$DD$67))/K91,2))</f>
        <v>0</v>
      </c>
      <c r="L97" s="1004">
        <f>IF(L78=0,0,ROUNDUP((IF(断面算定2!$BQ$75&gt;=断面算定2!$BS$75,断面算定2!$BQ$75,断面算定2!$BS$75)+断面算定2!$CC$76+IF(断面算定2!$DC$75&gt;=断面算定2!$DD$75,断面算定2!$DC$75,断面算定2!$DD$75))/L91,2))</f>
        <v>0</v>
      </c>
      <c r="M97" s="1004">
        <f>IF(M78=0,0,ROUNDUP((IF(断面算定2!$BQ$83&gt;=断面算定2!$BS$83,断面算定2!$BQ$83,断面算定2!$BS$83)+断面算定2!$CC$840+IF(断面算定2!$DC$83&gt;=断面算定2!$DD$83,断面算定2!$DC$83,断面算定2!$DD$83))/M91,2))</f>
        <v>0</v>
      </c>
      <c r="N97" s="1050">
        <f>IF(N78=0,0,ROUNDUP((IF(断面算定2!$BQ$91&gt;=断面算定2!$BS$91,断面算定2!$BQ$91,断面算定2!$BS$91)+断面算定2!$CC$92+IF(断面算定2!$DC$91&gt;=断面算定2!$DD$91,断面算定2!$DC$91,断面算定2!$DD$91))/N91,2))</f>
        <v>0</v>
      </c>
      <c r="O97" s="1072">
        <f>IF(O78=+"",0,ROUNDUP(5*#REF!/100*POWER(O84*100,4)/(384*O81*O91),2))</f>
        <v>0</v>
      </c>
      <c r="P97" s="401"/>
      <c r="Q97" s="401"/>
      <c r="R97" s="401"/>
      <c r="S97" s="30"/>
      <c r="T97" s="30"/>
      <c r="U97" s="30"/>
      <c r="V97" s="30"/>
      <c r="W97" s="30"/>
      <c r="X97" s="30"/>
    </row>
    <row r="98" spans="1:26" x14ac:dyDescent="0.15">
      <c r="A98" s="487"/>
      <c r="B98" s="1098"/>
      <c r="C98" s="988" t="s">
        <v>1321</v>
      </c>
      <c r="D98" s="984" t="s">
        <v>1322</v>
      </c>
      <c r="E98" s="1052">
        <f>IF(E78=0,0,断面算定2!$BE$20)</f>
        <v>0</v>
      </c>
      <c r="F98" s="1001">
        <f>IF(F78=0,0,断面算定2!$BE$26)</f>
        <v>0</v>
      </c>
      <c r="G98" s="1001">
        <f>IF(G78=0,0,断面算定2!$BE$32)</f>
        <v>0</v>
      </c>
      <c r="H98" s="1001">
        <f>IF(H78=0,0,断面算定2!$BE$38)</f>
        <v>0</v>
      </c>
      <c r="I98" s="1076">
        <f>IF(I78=0,0,断面算定2!$BE$44)</f>
        <v>0</v>
      </c>
      <c r="J98" s="1052">
        <f>IF(J78=0,0,断面算定2!$BD$61)</f>
        <v>0</v>
      </c>
      <c r="K98" s="1001">
        <f>IF(K78=0,0,断面算定2!$BD$69)</f>
        <v>0</v>
      </c>
      <c r="L98" s="1001">
        <f>IF(L78=0,0,断面算定2!$BD$77)</f>
        <v>0</v>
      </c>
      <c r="M98" s="1001">
        <f>IF(M78=0,0,断面算定2!$BD$85)</f>
        <v>0</v>
      </c>
      <c r="N98" s="1076">
        <f>IF(N78=0,0,断面算定2!$BD$93)</f>
        <v>0</v>
      </c>
      <c r="O98" s="1015">
        <f>IF(O78=+"",0,2)</f>
        <v>0</v>
      </c>
      <c r="P98" s="401"/>
      <c r="Q98" s="401"/>
      <c r="R98" s="401"/>
      <c r="S98" s="30"/>
      <c r="T98" s="30"/>
      <c r="U98" s="30"/>
      <c r="V98" s="30"/>
      <c r="W98" s="30"/>
      <c r="X98" s="30"/>
    </row>
    <row r="99" spans="1:26" ht="15" thickBot="1" x14ac:dyDescent="0.2">
      <c r="A99" s="487"/>
      <c r="B99" s="1099"/>
      <c r="C99" s="1100" t="s">
        <v>165</v>
      </c>
      <c r="D99" s="1109"/>
      <c r="E99" s="1103">
        <f>IF(E78=0,0,IF(E97&lt;=2,"OK!","NO!"))</f>
        <v>0</v>
      </c>
      <c r="F99" s="1101">
        <f t="shared" ref="F99:I99" si="78">IF(F78=0,0,IF(F97&lt;=2,"OK!","NO!"))</f>
        <v>0</v>
      </c>
      <c r="G99" s="1101">
        <f t="shared" si="78"/>
        <v>0</v>
      </c>
      <c r="H99" s="1101">
        <f t="shared" si="78"/>
        <v>0</v>
      </c>
      <c r="I99" s="1102">
        <f t="shared" si="78"/>
        <v>0</v>
      </c>
      <c r="J99" s="1103">
        <f t="shared" ref="J99:N99" si="79">IF(J78=0,0,IF(J97&lt;=2,"OK!","NO!"))</f>
        <v>0</v>
      </c>
      <c r="K99" s="1101">
        <f t="shared" si="79"/>
        <v>0</v>
      </c>
      <c r="L99" s="1101">
        <f t="shared" si="79"/>
        <v>0</v>
      </c>
      <c r="M99" s="1101">
        <f t="shared" si="79"/>
        <v>0</v>
      </c>
      <c r="N99" s="1102">
        <f t="shared" si="79"/>
        <v>0</v>
      </c>
      <c r="O99" s="1073">
        <f>IF(O78=+"",0,IF(O97&lt;=2,"OK!","NO!"))</f>
        <v>0</v>
      </c>
      <c r="P99" s="401"/>
      <c r="Q99" s="401"/>
      <c r="R99" s="401"/>
      <c r="S99" s="30"/>
      <c r="T99" s="30"/>
      <c r="U99" s="30"/>
      <c r="V99" s="30"/>
      <c r="W99" s="30"/>
      <c r="X99" s="30"/>
    </row>
    <row r="100" spans="1:26" ht="15" thickBot="1" x14ac:dyDescent="0.2">
      <c r="A100" s="487"/>
      <c r="B100" s="487"/>
      <c r="C100" s="487"/>
      <c r="D100" s="525"/>
      <c r="E100" s="525"/>
      <c r="F100" s="525"/>
      <c r="G100" s="525"/>
      <c r="H100" s="525"/>
      <c r="I100" s="525"/>
      <c r="J100" s="525"/>
      <c r="K100" s="487"/>
      <c r="L100" s="487"/>
      <c r="M100" s="487"/>
      <c r="N100" s="487"/>
      <c r="O100" s="520"/>
      <c r="P100" s="30"/>
      <c r="Q100" s="30"/>
      <c r="R100" s="30"/>
      <c r="S100" s="30"/>
      <c r="T100" s="30"/>
      <c r="U100" s="30"/>
      <c r="V100" s="30"/>
      <c r="W100" s="30"/>
      <c r="X100" s="30"/>
    </row>
    <row r="101" spans="1:26" ht="18.75" x14ac:dyDescent="0.15">
      <c r="A101" s="487"/>
      <c r="B101" s="1095" t="s">
        <v>1333</v>
      </c>
      <c r="C101" s="1111"/>
      <c r="D101" s="1104"/>
      <c r="E101" s="1717" t="s">
        <v>1536</v>
      </c>
      <c r="F101" s="1718"/>
      <c r="G101" s="1718"/>
      <c r="H101" s="1718"/>
      <c r="I101" s="1719"/>
      <c r="J101" s="1720" t="s">
        <v>1538</v>
      </c>
      <c r="K101" s="1718"/>
      <c r="L101" s="1718"/>
      <c r="M101" s="1718"/>
      <c r="N101" s="1719"/>
      <c r="O101" s="1059"/>
      <c r="P101" s="925"/>
      <c r="Q101" s="925"/>
      <c r="R101" s="925"/>
      <c r="S101" s="30"/>
      <c r="T101" s="30"/>
      <c r="U101" s="30"/>
      <c r="V101" s="30"/>
      <c r="W101" s="30"/>
      <c r="X101" s="30"/>
    </row>
    <row r="102" spans="1:26" x14ac:dyDescent="0.15">
      <c r="A102" s="487"/>
      <c r="B102" s="1097" t="s">
        <v>1334</v>
      </c>
      <c r="C102" s="1091"/>
      <c r="D102" s="1105"/>
      <c r="E102" s="1075" t="s">
        <v>1513</v>
      </c>
      <c r="F102" s="1039" t="s">
        <v>1514</v>
      </c>
      <c r="G102" s="921" t="s">
        <v>1515</v>
      </c>
      <c r="H102" s="921" t="s">
        <v>1516</v>
      </c>
      <c r="I102" s="1040" t="s">
        <v>1517</v>
      </c>
      <c r="J102" s="1075" t="s">
        <v>1513</v>
      </c>
      <c r="K102" s="1039" t="s">
        <v>1514</v>
      </c>
      <c r="L102" s="921" t="s">
        <v>1515</v>
      </c>
      <c r="M102" s="921" t="s">
        <v>1516</v>
      </c>
      <c r="N102" s="1040" t="s">
        <v>1517</v>
      </c>
      <c r="O102" s="1074"/>
      <c r="P102" s="925"/>
      <c r="Q102" s="925"/>
      <c r="R102" s="925"/>
      <c r="S102" s="30"/>
      <c r="T102" s="30"/>
      <c r="U102" s="30"/>
      <c r="V102" s="30"/>
      <c r="W102" s="30"/>
      <c r="X102" s="30"/>
    </row>
    <row r="103" spans="1:26" x14ac:dyDescent="0.15">
      <c r="A103" s="487"/>
      <c r="B103" s="1098"/>
      <c r="C103" s="993" t="s">
        <v>1299</v>
      </c>
      <c r="D103" s="1106"/>
      <c r="E103" s="1080">
        <f>+断面算定3!$K$15</f>
        <v>0</v>
      </c>
      <c r="F103" s="991">
        <f>+断面算定3!$K$21</f>
        <v>0</v>
      </c>
      <c r="G103" s="991">
        <f>+断面算定3!$K$27</f>
        <v>0</v>
      </c>
      <c r="H103" s="991">
        <f>+断面算定3!$K$33</f>
        <v>0</v>
      </c>
      <c r="I103" s="1079">
        <f>+断面算定3!$K$39</f>
        <v>0</v>
      </c>
      <c r="J103" s="1051">
        <f>+断面算定3!$L$57</f>
        <v>0</v>
      </c>
      <c r="K103" s="1004">
        <f>+断面算定3!$L$65</f>
        <v>0</v>
      </c>
      <c r="L103" s="1004">
        <f>+断面算定3!$L$73</f>
        <v>0</v>
      </c>
      <c r="M103" s="1004">
        <f>+断面算定3!$L$81</f>
        <v>0</v>
      </c>
      <c r="N103" s="1050">
        <f>+断面算定3!$L$89</f>
        <v>0</v>
      </c>
      <c r="O103" s="520"/>
      <c r="P103" s="126" t="str">
        <f>+""</f>
        <v/>
      </c>
      <c r="Q103" s="391"/>
      <c r="R103" s="126"/>
      <c r="S103" s="126"/>
      <c r="T103" s="391"/>
      <c r="U103" s="391"/>
      <c r="V103" s="30"/>
      <c r="W103" s="30"/>
      <c r="X103" s="30"/>
    </row>
    <row r="104" spans="1:26" ht="14.25" customHeight="1" x14ac:dyDescent="0.15">
      <c r="A104" s="487"/>
      <c r="B104" s="1098"/>
      <c r="C104" s="1679" t="s">
        <v>1302</v>
      </c>
      <c r="D104" s="1014" t="s">
        <v>1303</v>
      </c>
      <c r="E104" s="1043">
        <f>IF(E103=0,0,P105)</f>
        <v>0</v>
      </c>
      <c r="F104" s="1003">
        <f t="shared" ref="F104:N104" si="80">IF(F103=0,0,Q105)</f>
        <v>0</v>
      </c>
      <c r="G104" s="1003">
        <f t="shared" si="80"/>
        <v>0</v>
      </c>
      <c r="H104" s="1003">
        <f t="shared" si="80"/>
        <v>0</v>
      </c>
      <c r="I104" s="1042">
        <f t="shared" si="80"/>
        <v>0</v>
      </c>
      <c r="J104" s="1043">
        <f t="shared" si="80"/>
        <v>0</v>
      </c>
      <c r="K104" s="1003">
        <f t="shared" si="80"/>
        <v>0</v>
      </c>
      <c r="L104" s="1003">
        <f t="shared" si="80"/>
        <v>0</v>
      </c>
      <c r="M104" s="1003">
        <f t="shared" si="80"/>
        <v>0</v>
      </c>
      <c r="N104" s="1042">
        <f t="shared" si="80"/>
        <v>0</v>
      </c>
      <c r="O104" s="1070"/>
      <c r="P104" s="927">
        <f>IF(E103=+"",0,+VALUE(RIGHT(E103,4)))</f>
        <v>0</v>
      </c>
      <c r="Q104" s="927">
        <f t="shared" ref="Q104" si="81">IF(F103=+"",0,+VALUE(RIGHT(F103,4)))</f>
        <v>0</v>
      </c>
      <c r="R104" s="927">
        <f t="shared" ref="R104" si="82">IF(G103=+"",0,+VALUE(RIGHT(G103,4)))</f>
        <v>0</v>
      </c>
      <c r="S104" s="927">
        <f t="shared" ref="S104" si="83">IF(H103=+"",0,+VALUE(RIGHT(H103,4)))</f>
        <v>0</v>
      </c>
      <c r="T104" s="927">
        <f t="shared" ref="T104" si="84">IF(I103=+"",0,+VALUE(RIGHT(I103,4)))</f>
        <v>0</v>
      </c>
      <c r="U104" s="927">
        <f t="shared" ref="U104" si="85">IF(J103=+"",0,+VALUE(RIGHT(J103,4)))</f>
        <v>0</v>
      </c>
      <c r="V104" s="927">
        <f t="shared" ref="V104" si="86">IF(K103=+"",0,+VALUE(RIGHT(K103,4)))</f>
        <v>0</v>
      </c>
      <c r="W104" s="927">
        <f t="shared" ref="W104" si="87">IF(L103=+"",0,+VALUE(RIGHT(L103,4)))</f>
        <v>0</v>
      </c>
      <c r="X104" s="927">
        <f t="shared" ref="X104" si="88">IF(M103=+"",0,+VALUE(RIGHT(M103,4)))</f>
        <v>0</v>
      </c>
      <c r="Y104" s="927">
        <f t="shared" ref="Y104" si="89">IF(N103=+"",0,+VALUE(RIGHT(N103,4)))</f>
        <v>0</v>
      </c>
      <c r="Z104" s="927">
        <f t="shared" ref="Z104" si="90">IF(O103=+"",0,+VALUE(RIGHT(O103,4)))</f>
        <v>0</v>
      </c>
    </row>
    <row r="105" spans="1:26" x14ac:dyDescent="0.15">
      <c r="A105" s="487"/>
      <c r="B105" s="1098"/>
      <c r="C105" s="1305"/>
      <c r="D105" s="1014" t="s">
        <v>600</v>
      </c>
      <c r="E105" s="1043">
        <f>IF(E103=0,0,P106)</f>
        <v>0</v>
      </c>
      <c r="F105" s="1003">
        <f t="shared" ref="F105:N105" si="91">IF(F103=0,0,Q106)</f>
        <v>0</v>
      </c>
      <c r="G105" s="1003">
        <f t="shared" si="91"/>
        <v>0</v>
      </c>
      <c r="H105" s="1003">
        <f t="shared" si="91"/>
        <v>0</v>
      </c>
      <c r="I105" s="1042">
        <f t="shared" si="91"/>
        <v>0</v>
      </c>
      <c r="J105" s="1043">
        <f t="shared" si="91"/>
        <v>0</v>
      </c>
      <c r="K105" s="1003">
        <f t="shared" si="91"/>
        <v>0</v>
      </c>
      <c r="L105" s="1003">
        <f t="shared" si="91"/>
        <v>0</v>
      </c>
      <c r="M105" s="1003">
        <f t="shared" si="91"/>
        <v>0</v>
      </c>
      <c r="N105" s="1042">
        <f t="shared" si="91"/>
        <v>0</v>
      </c>
      <c r="O105" s="1070"/>
      <c r="P105" s="10" t="e">
        <f>IF(VALUE(RIGHT(断面算定!$G$3,4))=2,ROUND(VLOOKUP(P104,許容応力!$B$6:$K$22,7)*1.1/3*100,0),ROUND(VLOOKUP(P104,許容応力!$B$6:$K$22,7)*1.1/3*1.3*100,0))</f>
        <v>#N/A</v>
      </c>
      <c r="Q105" s="10" t="e">
        <f>IF(VALUE(RIGHT(断面算定!$G$3,4))=2,ROUND(VLOOKUP(Q104,許容応力!$B$6:$K$22,7)*1.1/3*100,0),ROUND(VLOOKUP(Q104,許容応力!$B$6:$K$22,7)*1.1/3*1.3*100,0))</f>
        <v>#N/A</v>
      </c>
      <c r="R105" s="10" t="e">
        <f>IF(VALUE(RIGHT(断面算定!$G$3,4))=2,ROUND(VLOOKUP(R104,許容応力!$B$6:$K$22,7)*1.1/3*100,0),ROUND(VLOOKUP(R104,許容応力!$B$6:$K$22,7)*1.1/3*1.3*100,0))</f>
        <v>#N/A</v>
      </c>
      <c r="S105" s="10" t="e">
        <f>IF(VALUE(RIGHT(断面算定!$G$3,4))=2,ROUND(VLOOKUP(S104,許容応力!$B$6:$K$22,7)*1.1/3*100,0),ROUND(VLOOKUP(S104,許容応力!$B$6:$K$22,7)*1.1/3*1.3*100,0))</f>
        <v>#N/A</v>
      </c>
      <c r="T105" s="10" t="e">
        <f>IF(VALUE(RIGHT(断面算定!$G$3,4))=2,ROUND(VLOOKUP(T104,許容応力!$B$6:$K$22,7)*1.1/3*100,0),ROUND(VLOOKUP(T104,許容応力!$B$6:$K$22,7)*1.1/3*1.3*100,0))</f>
        <v>#N/A</v>
      </c>
      <c r="U105" s="10" t="e">
        <f>IF(VALUE(RIGHT(断面算定!$G$3,4))=2,ROUND(VLOOKUP(U104,許容応力!$B$6:$K$22,7)*1.1/3*100,0),ROUND(VLOOKUP(U104,許容応力!$B$6:$K$22,7)*1.1/3*1.3*100,0))</f>
        <v>#N/A</v>
      </c>
      <c r="V105" s="10" t="e">
        <f>IF(VALUE(RIGHT(断面算定!$G$3,4))=2,ROUND(VLOOKUP(V104,許容応力!$B$6:$K$22,7)*1.1/3*100,0),ROUND(VLOOKUP(V104,許容応力!$B$6:$K$22,7)*1.1/3*1.3*100,0))</f>
        <v>#N/A</v>
      </c>
      <c r="W105" s="10" t="e">
        <f>IF(VALUE(RIGHT(断面算定!$G$3,4))=2,ROUND(VLOOKUP(W104,許容応力!$B$6:$K$22,7)*1.1/3*100,0),ROUND(VLOOKUP(W104,許容応力!$B$6:$K$22,7)*1.1/3*1.3*100,0))</f>
        <v>#N/A</v>
      </c>
      <c r="X105" s="10" t="e">
        <f>IF(VALUE(RIGHT(断面算定!$G$3,4))=2,ROUND(VLOOKUP(X104,許容応力!$B$6:$K$22,7)*1.1/3*100,0),ROUND(VLOOKUP(X104,許容応力!$B$6:$K$22,7)*1.1/3*1.3*100,0))</f>
        <v>#N/A</v>
      </c>
      <c r="Y105" s="10" t="e">
        <f>IF(VALUE(RIGHT(断面算定!$G$3,4))=2,ROUND(VLOOKUP(Y104,許容応力!$B$6:$K$22,7)*1.1/3*100,0),ROUND(VLOOKUP(Y104,許容応力!$B$6:$K$22,7)*1.1/3*1.3*100,0))</f>
        <v>#N/A</v>
      </c>
      <c r="Z105" s="10" t="e">
        <f>IF(VALUE(RIGHT(断面算定!$G$3,4))=2,ROUND(VLOOKUP(Z104,許容応力!$B$6:$K$22,7)*1.1/3*100,0),ROUND(VLOOKUP(Z104,許容応力!$B$6:$K$22,7)*1.1/3*1.3*100,0))</f>
        <v>#N/A</v>
      </c>
    </row>
    <row r="106" spans="1:26" x14ac:dyDescent="0.15">
      <c r="A106" s="487"/>
      <c r="B106" s="1098"/>
      <c r="C106" s="1305"/>
      <c r="D106" s="1014" t="s">
        <v>601</v>
      </c>
      <c r="E106" s="1043">
        <f>IF(E103=0,0,P107)</f>
        <v>0</v>
      </c>
      <c r="F106" s="1003">
        <f t="shared" ref="F106:N106" si="92">IF(F103=0,0,Q107)</f>
        <v>0</v>
      </c>
      <c r="G106" s="1003">
        <f t="shared" si="92"/>
        <v>0</v>
      </c>
      <c r="H106" s="1003">
        <f t="shared" si="92"/>
        <v>0</v>
      </c>
      <c r="I106" s="1042">
        <f t="shared" si="92"/>
        <v>0</v>
      </c>
      <c r="J106" s="1043">
        <f t="shared" si="92"/>
        <v>0</v>
      </c>
      <c r="K106" s="1003">
        <f t="shared" si="92"/>
        <v>0</v>
      </c>
      <c r="L106" s="1003">
        <f t="shared" si="92"/>
        <v>0</v>
      </c>
      <c r="M106" s="1003">
        <f t="shared" si="92"/>
        <v>0</v>
      </c>
      <c r="N106" s="1042">
        <f t="shared" si="92"/>
        <v>0</v>
      </c>
      <c r="O106" s="1070"/>
      <c r="P106" s="10" t="e">
        <f>IF(VALUE(RIGHT(断面算定!$G$3,4))=2,ROUND(VLOOKUP(P104,許容応力!$B$6:$K$22,8)*1.1/3*100,0),ROUND(VLOOKUP(P104,許容応力!$B$6:$K$22,8)*1.1/3*1.3*100,0))</f>
        <v>#N/A</v>
      </c>
      <c r="Q106" s="10" t="e">
        <f>IF(VALUE(RIGHT(断面算定!$G$3,4))=2,ROUND(VLOOKUP(Q104,許容応力!$B$6:$K$22,8)*1.1/3*100,0),ROUND(VLOOKUP(Q104,許容応力!$B$6:$K$22,8)*1.1/3*1.3*100,0))</f>
        <v>#N/A</v>
      </c>
      <c r="R106" s="10" t="e">
        <f>IF(VALUE(RIGHT(断面算定!$G$3,4))=2,ROUND(VLOOKUP(R104,許容応力!$B$6:$K$22,8)*1.1/3*100,0),ROUND(VLOOKUP(R104,許容応力!$B$6:$K$22,8)*1.1/3*1.3*100,0))</f>
        <v>#N/A</v>
      </c>
      <c r="S106" s="10" t="e">
        <f>IF(VALUE(RIGHT(断面算定!$G$3,4))=2,ROUND(VLOOKUP(S104,許容応力!$B$6:$K$22,8)*1.1/3*100,0),ROUND(VLOOKUP(S104,許容応力!$B$6:$K$22,8)*1.1/3*1.3*100,0))</f>
        <v>#N/A</v>
      </c>
      <c r="T106" s="10" t="e">
        <f>IF(VALUE(RIGHT(断面算定!$G$3,4))=2,ROUND(VLOOKUP(T104,許容応力!$B$6:$K$22,8)*1.1/3*100,0),ROUND(VLOOKUP(T104,許容応力!$B$6:$K$22,8)*1.1/3*1.3*100,0))</f>
        <v>#N/A</v>
      </c>
      <c r="U106" s="10" t="e">
        <f>IF(VALUE(RIGHT(断面算定!$G$3,4))=2,ROUND(VLOOKUP(U104,許容応力!$B$6:$K$22,8)*1.1/3*100,0),ROUND(VLOOKUP(U104,許容応力!$B$6:$K$22,8)*1.1/3*1.3*100,0))</f>
        <v>#N/A</v>
      </c>
      <c r="V106" s="10" t="e">
        <f>IF(VALUE(RIGHT(断面算定!$G$3,4))=2,ROUND(VLOOKUP(V104,許容応力!$B$6:$K$22,8)*1.1/3*100,0),ROUND(VLOOKUP(V104,許容応力!$B$6:$K$22,8)*1.1/3*1.3*100,0))</f>
        <v>#N/A</v>
      </c>
      <c r="W106" s="10" t="e">
        <f>IF(VALUE(RIGHT(断面算定!$G$3,4))=2,ROUND(VLOOKUP(W104,許容応力!$B$6:$K$22,8)*1.1/3*100,0),ROUND(VLOOKUP(W104,許容応力!$B$6:$K$22,8)*1.1/3*1.3*100,0))</f>
        <v>#N/A</v>
      </c>
      <c r="X106" s="10" t="e">
        <f>IF(VALUE(RIGHT(断面算定!$G$3,4))=2,ROUND(VLOOKUP(X104,許容応力!$B$6:$K$22,8)*1.1/3*100,0),ROUND(VLOOKUP(X104,許容応力!$B$6:$K$22,8)*1.1/3*1.3*100,0))</f>
        <v>#N/A</v>
      </c>
      <c r="Y106" s="10" t="e">
        <f>IF(VALUE(RIGHT(断面算定!$G$3,4))=2,ROUND(VLOOKUP(Y104,許容応力!$B$6:$K$22,8)*1.1/3*100,0),ROUND(VLOOKUP(Y104,許容応力!$B$6:$K$22,8)*1.1/3*1.3*100,0))</f>
        <v>#N/A</v>
      </c>
      <c r="Z106" s="10" t="e">
        <f>IF(VALUE(RIGHT(断面算定!$G$3,4))=2,ROUND(VLOOKUP(Z104,許容応力!$B$6:$K$22,8)*1.1/3*100,0),ROUND(VLOOKUP(Z104,許容応力!$B$6:$K$22,8)*1.1/3*1.3*100,0))</f>
        <v>#N/A</v>
      </c>
    </row>
    <row r="107" spans="1:26" x14ac:dyDescent="0.15">
      <c r="A107" s="487"/>
      <c r="B107" s="1098"/>
      <c r="C107" s="1305"/>
      <c r="D107" s="1014" t="s">
        <v>641</v>
      </c>
      <c r="E107" s="1043">
        <f>IF(E103=0,0,P108)</f>
        <v>0</v>
      </c>
      <c r="F107" s="1003">
        <f t="shared" ref="F107:N107" si="93">IF(F103=0,0,Q108)</f>
        <v>0</v>
      </c>
      <c r="G107" s="1003">
        <f t="shared" si="93"/>
        <v>0</v>
      </c>
      <c r="H107" s="1003">
        <f t="shared" si="93"/>
        <v>0</v>
      </c>
      <c r="I107" s="1042">
        <f t="shared" si="93"/>
        <v>0</v>
      </c>
      <c r="J107" s="1043">
        <f t="shared" si="93"/>
        <v>0</v>
      </c>
      <c r="K107" s="1003">
        <f t="shared" si="93"/>
        <v>0</v>
      </c>
      <c r="L107" s="1003">
        <f t="shared" si="93"/>
        <v>0</v>
      </c>
      <c r="M107" s="1003">
        <f t="shared" si="93"/>
        <v>0</v>
      </c>
      <c r="N107" s="1042">
        <f t="shared" si="93"/>
        <v>0</v>
      </c>
      <c r="O107" s="1070"/>
      <c r="P107" s="10" t="e">
        <f>ROUND(VLOOKUP(P104,許容応力!$B$6:$K$22,10)*100,0)</f>
        <v>#N/A</v>
      </c>
      <c r="Q107" s="10" t="e">
        <f>ROUND(VLOOKUP(Q104,許容応力!$B$6:$K$22,10)*100,0)</f>
        <v>#N/A</v>
      </c>
      <c r="R107" s="10" t="e">
        <f>ROUND(VLOOKUP(R104,許容応力!$B$6:$K$22,10)*100,0)</f>
        <v>#N/A</v>
      </c>
      <c r="S107" s="10" t="e">
        <f>ROUND(VLOOKUP(S104,許容応力!$B$6:$K$22,10)*100,0)</f>
        <v>#N/A</v>
      </c>
      <c r="T107" s="10" t="e">
        <f>ROUND(VLOOKUP(T104,許容応力!$B$6:$K$22,10)*100,0)</f>
        <v>#N/A</v>
      </c>
      <c r="U107" s="10" t="e">
        <f>ROUND(VLOOKUP(U104,許容応力!$B$6:$K$22,10)*100,0)</f>
        <v>#N/A</v>
      </c>
      <c r="V107" s="10" t="e">
        <f>ROUND(VLOOKUP(V104,許容応力!$B$6:$K$22,10)*100,0)</f>
        <v>#N/A</v>
      </c>
      <c r="W107" s="10" t="e">
        <f>ROUND(VLOOKUP(W104,許容応力!$B$6:$K$22,10)*100,0)</f>
        <v>#N/A</v>
      </c>
      <c r="X107" s="10" t="e">
        <f>ROUND(VLOOKUP(X104,許容応力!$B$6:$K$22,10)*100,0)</f>
        <v>#N/A</v>
      </c>
      <c r="Y107" s="10" t="e">
        <f>ROUND(VLOOKUP(Y104,許容応力!$B$6:$K$22,10)*100,0)</f>
        <v>#N/A</v>
      </c>
      <c r="Z107" s="10" t="e">
        <f>ROUND(VLOOKUP(Z104,許容応力!$B$6:$K$22,10)*100,0)</f>
        <v>#N/A</v>
      </c>
    </row>
    <row r="108" spans="1:26" x14ac:dyDescent="0.15">
      <c r="A108" s="487"/>
      <c r="B108" s="1098"/>
      <c r="C108" s="1276"/>
      <c r="D108" s="1014" t="s">
        <v>599</v>
      </c>
      <c r="E108" s="1043">
        <f>IF(E103=0,0,P109)</f>
        <v>0</v>
      </c>
      <c r="F108" s="1003">
        <f t="shared" ref="F108:N108" si="94">IF(F103=0,0,Q109)</f>
        <v>0</v>
      </c>
      <c r="G108" s="1003">
        <f t="shared" si="94"/>
        <v>0</v>
      </c>
      <c r="H108" s="1003">
        <f t="shared" si="94"/>
        <v>0</v>
      </c>
      <c r="I108" s="1042">
        <f t="shared" si="94"/>
        <v>0</v>
      </c>
      <c r="J108" s="1043">
        <f t="shared" si="94"/>
        <v>0</v>
      </c>
      <c r="K108" s="1003">
        <f t="shared" si="94"/>
        <v>0</v>
      </c>
      <c r="L108" s="1003">
        <f t="shared" si="94"/>
        <v>0</v>
      </c>
      <c r="M108" s="1003">
        <f t="shared" si="94"/>
        <v>0</v>
      </c>
      <c r="N108" s="1042">
        <f t="shared" si="94"/>
        <v>0</v>
      </c>
      <c r="O108" s="1070"/>
      <c r="P108" s="10" t="e">
        <f>IF(VALUE(RIGHT(断面算定!$G$3,4))=2,ROUND(VLOOKUP(P104,許容応力!$B$6:$K$22,6)*1.1/3*100,0),ROUND(VLOOKUP(P104,許容応力!$B$6:$K$22,6)*1.1/3*1.3*100,0))</f>
        <v>#N/A</v>
      </c>
      <c r="Q108" s="10" t="e">
        <f>IF(VALUE(RIGHT(断面算定!$G$3,4))=2,ROUND(VLOOKUP(Q104,許容応力!$B$6:$K$22,6)*1.1/3*100,0),ROUND(VLOOKUP(Q104,許容応力!$B$6:$K$22,6)*1.1/3*1.3*100,0))</f>
        <v>#N/A</v>
      </c>
      <c r="R108" s="10" t="e">
        <f>IF(VALUE(RIGHT(断面算定!$G$3,4))=2,ROUND(VLOOKUP(R104,許容応力!$B$6:$K$22,6)*1.1/3*100,0),ROUND(VLOOKUP(R104,許容応力!$B$6:$K$22,6)*1.1/3*1.3*100,0))</f>
        <v>#N/A</v>
      </c>
      <c r="S108" s="10" t="e">
        <f>IF(VALUE(RIGHT(断面算定!$G$3,4))=2,ROUND(VLOOKUP(S104,許容応力!$B$6:$K$22,6)*1.1/3*100,0),ROUND(VLOOKUP(S104,許容応力!$B$6:$K$22,6)*1.1/3*1.3*100,0))</f>
        <v>#N/A</v>
      </c>
      <c r="T108" s="10" t="e">
        <f>IF(VALUE(RIGHT(断面算定!$G$3,4))=2,ROUND(VLOOKUP(T104,許容応力!$B$6:$K$22,6)*1.1/3*100,0),ROUND(VLOOKUP(T104,許容応力!$B$6:$K$22,6)*1.1/3*1.3*100,0))</f>
        <v>#N/A</v>
      </c>
      <c r="U108" s="10" t="e">
        <f>IF(VALUE(RIGHT(断面算定!$G$3,4))=2,ROUND(VLOOKUP(U104,許容応力!$B$6:$K$22,6)*1.1/3*100,0),ROUND(VLOOKUP(U104,許容応力!$B$6:$K$22,6)*1.1/3*1.3*100,0))</f>
        <v>#N/A</v>
      </c>
      <c r="V108" s="10" t="e">
        <f>IF(VALUE(RIGHT(断面算定!$G$3,4))=2,ROUND(VLOOKUP(V104,許容応力!$B$6:$K$22,6)*1.1/3*100,0),ROUND(VLOOKUP(V104,許容応力!$B$6:$K$22,6)*1.1/3*1.3*100,0))</f>
        <v>#N/A</v>
      </c>
      <c r="W108" s="10" t="e">
        <f>IF(VALUE(RIGHT(断面算定!$G$3,4))=2,ROUND(VLOOKUP(W104,許容応力!$B$6:$K$22,6)*1.1/3*100,0),ROUND(VLOOKUP(W104,許容応力!$B$6:$K$22,6)*1.1/3*1.3*100,0))</f>
        <v>#N/A</v>
      </c>
      <c r="X108" s="10" t="e">
        <f>IF(VALUE(RIGHT(断面算定!$G$3,4))=2,ROUND(VLOOKUP(X104,許容応力!$B$6:$K$22,6)*1.1/3*100,0),ROUND(VLOOKUP(X104,許容応力!$B$6:$K$22,6)*1.1/3*1.3*100,0))</f>
        <v>#N/A</v>
      </c>
      <c r="Y108" s="10" t="e">
        <f>IF(VALUE(RIGHT(断面算定!$G$3,4))=2,ROUND(VLOOKUP(Y104,許容応力!$B$6:$K$22,6)*1.1/3*100,0),ROUND(VLOOKUP(Y104,許容応力!$B$6:$K$22,6)*1.1/3*1.3*100,0))</f>
        <v>#N/A</v>
      </c>
      <c r="Z108" s="10" t="e">
        <f>IF(VALUE(RIGHT(断面算定!$G$3,4))=2,ROUND(VLOOKUP(Z104,許容応力!$B$6:$K$22,6)*1.1/3*100,0),ROUND(VLOOKUP(Z104,許容応力!$B$6:$K$22,6)*1.1/3*1.3*100,0))</f>
        <v>#N/A</v>
      </c>
    </row>
    <row r="109" spans="1:26" x14ac:dyDescent="0.15">
      <c r="A109" s="487"/>
      <c r="B109" s="1098"/>
      <c r="C109" s="988" t="s">
        <v>1524</v>
      </c>
      <c r="D109" s="984" t="s">
        <v>475</v>
      </c>
      <c r="E109" s="1051">
        <f>+断面算定3!$K$19</f>
        <v>0</v>
      </c>
      <c r="F109" s="1004">
        <f>+断面算定3!$K$25</f>
        <v>0</v>
      </c>
      <c r="G109" s="1004">
        <f>+断面算定3!$K$31</f>
        <v>0</v>
      </c>
      <c r="H109" s="1004">
        <f>+断面算定3!$K$37</f>
        <v>0</v>
      </c>
      <c r="I109" s="1050">
        <f>+断面算定3!$K$43</f>
        <v>0</v>
      </c>
      <c r="J109" s="1051">
        <f>+断面算定3!$M$62</f>
        <v>0</v>
      </c>
      <c r="K109" s="1004">
        <f>+断面算定3!$M$70</f>
        <v>0</v>
      </c>
      <c r="L109" s="1004">
        <f>+断面算定3!$M$78</f>
        <v>0</v>
      </c>
      <c r="M109" s="1004">
        <f>+断面算定3!$M$86</f>
        <v>0</v>
      </c>
      <c r="N109" s="1050">
        <f>+断面算定3!$M$94</f>
        <v>0</v>
      </c>
      <c r="O109" s="1072"/>
      <c r="P109" s="10" t="e">
        <f>IF(VALUE(RIGHT(断面算定!$G$3,4))=2,ROUND(VLOOKUP(P104,許容応力!$B$6:$K$22,5)*1.1/3*100,0),ROUND(VLOOKUP(P104,許容応力!$B$6:$K$22,5)*1.1/3*1.3*100,0))</f>
        <v>#N/A</v>
      </c>
      <c r="Q109" s="10" t="e">
        <f>IF(VALUE(RIGHT(断面算定!$G$3,4))=2,ROUND(VLOOKUP(Q104,許容応力!$B$6:$K$22,5)*1.1/3*100,0),ROUND(VLOOKUP(Q104,許容応力!$B$6:$K$22,5)*1.1/3*1.3*100,0))</f>
        <v>#N/A</v>
      </c>
      <c r="R109" s="10" t="e">
        <f>IF(VALUE(RIGHT(断面算定!$G$3,4))=2,ROUND(VLOOKUP(R104,許容応力!$B$6:$K$22,5)*1.1/3*100,0),ROUND(VLOOKUP(R104,許容応力!$B$6:$K$22,5)*1.1/3*1.3*100,0))</f>
        <v>#N/A</v>
      </c>
      <c r="S109" s="10" t="e">
        <f>IF(VALUE(RIGHT(断面算定!$G$3,4))=2,ROUND(VLOOKUP(S104,許容応力!$B$6:$K$22,5)*1.1/3*100,0),ROUND(VLOOKUP(S104,許容応力!$B$6:$K$22,5)*1.1/3*1.3*100,0))</f>
        <v>#N/A</v>
      </c>
      <c r="T109" s="10" t="e">
        <f>IF(VALUE(RIGHT(断面算定!$G$3,4))=2,ROUND(VLOOKUP(T104,許容応力!$B$6:$K$22,5)*1.1/3*100,0),ROUND(VLOOKUP(T104,許容応力!$B$6:$K$22,5)*1.1/3*1.3*100,0))</f>
        <v>#N/A</v>
      </c>
      <c r="U109" s="10" t="e">
        <f>IF(VALUE(RIGHT(断面算定!$G$3,4))=2,ROUND(VLOOKUP(U104,許容応力!$B$6:$K$22,5)*1.1/3*100,0),ROUND(VLOOKUP(U104,許容応力!$B$6:$K$22,5)*1.1/3*1.3*100,0))</f>
        <v>#N/A</v>
      </c>
      <c r="V109" s="10" t="e">
        <f>IF(VALUE(RIGHT(断面算定!$G$3,4))=2,ROUND(VLOOKUP(V104,許容応力!$B$6:$K$22,5)*1.1/3*100,0),ROUND(VLOOKUP(V104,許容応力!$B$6:$K$22,5)*1.1/3*1.3*100,0))</f>
        <v>#N/A</v>
      </c>
      <c r="W109" s="10" t="e">
        <f>IF(VALUE(RIGHT(断面算定!$G$3,4))=2,ROUND(VLOOKUP(W104,許容応力!$B$6:$K$22,5)*1.1/3*100,0),ROUND(VLOOKUP(W104,許容応力!$B$6:$K$22,5)*1.1/3*1.3*100,0))</f>
        <v>#N/A</v>
      </c>
      <c r="X109" s="10" t="e">
        <f>IF(VALUE(RIGHT(断面算定!$G$3,4))=2,ROUND(VLOOKUP(X104,許容応力!$B$6:$K$22,5)*1.1/3*100,0),ROUND(VLOOKUP(X104,許容応力!$B$6:$K$22,5)*1.1/3*1.3*100,0))</f>
        <v>#N/A</v>
      </c>
      <c r="Y109" s="10" t="e">
        <f>IF(VALUE(RIGHT(断面算定!$G$3,4))=2,ROUND(VLOOKUP(Y104,許容応力!$B$6:$K$22,5)*1.1/3*100,0),ROUND(VLOOKUP(Y104,許容応力!$B$6:$K$22,5)*1.1/3*1.3*100,0))</f>
        <v>#N/A</v>
      </c>
      <c r="Z109" s="10" t="e">
        <f>IF(VALUE(RIGHT(断面算定!$G$3,4))=2,ROUND(VLOOKUP(Z104,許容応力!$B$6:$K$22,5)*1.1/3*100,0),ROUND(VLOOKUP(Z104,許容応力!$B$6:$K$22,5)*1.1/3*1.3*100,0))</f>
        <v>#N/A</v>
      </c>
    </row>
    <row r="110" spans="1:26" x14ac:dyDescent="0.15">
      <c r="A110" s="487"/>
      <c r="B110" s="1098"/>
      <c r="C110" s="1721" t="s">
        <v>1337</v>
      </c>
      <c r="D110" s="984" t="s">
        <v>1331</v>
      </c>
      <c r="E110" s="1052">
        <f>+断面算定3!$L$15/10</f>
        <v>0</v>
      </c>
      <c r="F110" s="1001">
        <f>+断面算定3!$L$21/10</f>
        <v>0</v>
      </c>
      <c r="G110" s="1001">
        <f>+断面算定3!$L$27/10</f>
        <v>0</v>
      </c>
      <c r="H110" s="1001">
        <f>+断面算定3!$L$33/10</f>
        <v>0</v>
      </c>
      <c r="I110" s="1076">
        <f>+断面算定3!$L$39/10</f>
        <v>0</v>
      </c>
      <c r="J110" s="1052">
        <f>+断面算定3!$M$57/10</f>
        <v>0</v>
      </c>
      <c r="K110" s="1001">
        <f>+断面算定3!$M$65/10</f>
        <v>0</v>
      </c>
      <c r="L110" s="1001">
        <f>+断面算定3!$M$73/10</f>
        <v>0</v>
      </c>
      <c r="M110" s="1001">
        <f>+断面算定3!$M$81/10</f>
        <v>0</v>
      </c>
      <c r="N110" s="1076">
        <f>+断面算定3!$M$89/10</f>
        <v>0</v>
      </c>
      <c r="O110" s="1084"/>
      <c r="P110" s="7"/>
      <c r="Q110" s="7"/>
      <c r="R110" s="7"/>
      <c r="S110" s="30"/>
      <c r="T110" s="30"/>
      <c r="U110" s="30"/>
      <c r="V110" s="30"/>
      <c r="W110" s="30"/>
      <c r="X110" s="30"/>
    </row>
    <row r="111" spans="1:26" x14ac:dyDescent="0.15">
      <c r="A111" s="487"/>
      <c r="B111" s="1098"/>
      <c r="C111" s="1306"/>
      <c r="D111" s="984" t="s">
        <v>1525</v>
      </c>
      <c r="E111" s="1110">
        <v>24</v>
      </c>
      <c r="F111" s="926"/>
      <c r="G111" s="930"/>
      <c r="H111" s="930"/>
      <c r="I111" s="1044"/>
      <c r="J111" s="1045">
        <v>24</v>
      </c>
      <c r="K111" s="930"/>
      <c r="L111" s="930"/>
      <c r="M111" s="930"/>
      <c r="N111" s="1044"/>
      <c r="O111" s="1084"/>
      <c r="P111" s="15"/>
      <c r="Q111" s="15"/>
      <c r="R111" s="15"/>
      <c r="S111" s="30"/>
      <c r="T111" s="30"/>
      <c r="U111" s="30"/>
      <c r="V111" s="30"/>
      <c r="W111" s="30"/>
      <c r="X111" s="30"/>
    </row>
    <row r="112" spans="1:26" x14ac:dyDescent="0.15">
      <c r="A112" s="487"/>
      <c r="B112" s="1098"/>
      <c r="C112" s="1722"/>
      <c r="D112" s="984" t="s">
        <v>1526</v>
      </c>
      <c r="E112" s="1110">
        <v>12</v>
      </c>
      <c r="F112" s="926"/>
      <c r="G112" s="930"/>
      <c r="H112" s="930"/>
      <c r="I112" s="1044"/>
      <c r="J112" s="1045">
        <v>12</v>
      </c>
      <c r="K112" s="930"/>
      <c r="L112" s="930"/>
      <c r="M112" s="930"/>
      <c r="N112" s="1044"/>
      <c r="O112" s="1084"/>
      <c r="P112" s="15"/>
      <c r="Q112" s="15"/>
      <c r="R112" s="15"/>
      <c r="S112" s="30"/>
      <c r="T112" s="30"/>
      <c r="U112" s="30"/>
      <c r="V112" s="30"/>
      <c r="W112" s="30"/>
      <c r="X112" s="30"/>
    </row>
    <row r="113" spans="1:24" x14ac:dyDescent="0.15">
      <c r="A113" s="487"/>
      <c r="B113" s="1098"/>
      <c r="C113" s="1297"/>
      <c r="D113" s="984" t="s">
        <v>1527</v>
      </c>
      <c r="E113" s="1110"/>
      <c r="F113" s="926"/>
      <c r="G113" s="930"/>
      <c r="H113" s="930"/>
      <c r="I113" s="1044"/>
      <c r="J113" s="1045"/>
      <c r="K113" s="930"/>
      <c r="L113" s="930"/>
      <c r="M113" s="930"/>
      <c r="N113" s="1044"/>
      <c r="O113" s="1084"/>
      <c r="P113" s="15"/>
      <c r="Q113" s="15"/>
      <c r="R113" s="15"/>
      <c r="S113" s="30"/>
      <c r="T113" s="30"/>
      <c r="U113" s="30"/>
      <c r="V113" s="30"/>
      <c r="W113" s="30"/>
      <c r="X113" s="30"/>
    </row>
    <row r="114" spans="1:24" x14ac:dyDescent="0.15">
      <c r="A114" s="487"/>
      <c r="B114" s="1098"/>
      <c r="C114" s="994" t="s">
        <v>1338</v>
      </c>
      <c r="D114" s="1106"/>
      <c r="E114" s="1047" t="s">
        <v>1339</v>
      </c>
      <c r="F114" s="931" t="s">
        <v>853</v>
      </c>
      <c r="G114" s="931" t="s">
        <v>853</v>
      </c>
      <c r="H114" s="931" t="s">
        <v>853</v>
      </c>
      <c r="I114" s="1046" t="s">
        <v>853</v>
      </c>
      <c r="J114" s="1047" t="s">
        <v>1339</v>
      </c>
      <c r="K114" s="931" t="s">
        <v>853</v>
      </c>
      <c r="L114" s="931" t="s">
        <v>853</v>
      </c>
      <c r="M114" s="931" t="s">
        <v>853</v>
      </c>
      <c r="N114" s="1046" t="s">
        <v>853</v>
      </c>
      <c r="O114" s="1085"/>
      <c r="P114" s="15"/>
      <c r="Q114" s="15"/>
      <c r="R114" s="15"/>
      <c r="S114" s="30"/>
      <c r="T114" s="30"/>
      <c r="U114" s="30"/>
      <c r="V114" s="30"/>
      <c r="W114" s="30"/>
      <c r="X114" s="30"/>
    </row>
    <row r="115" spans="1:24" x14ac:dyDescent="0.15">
      <c r="A115" s="487"/>
      <c r="B115" s="1098"/>
      <c r="C115" s="1721" t="s">
        <v>1528</v>
      </c>
      <c r="D115" s="984" t="s">
        <v>292</v>
      </c>
      <c r="E115" s="1049">
        <f>ROUNDUP(E110*+POWER((E111+E112+E113),3)/12,0)</f>
        <v>0</v>
      </c>
      <c r="F115" s="997">
        <f t="shared" ref="F115:J115" si="95">ROUNDUP(F110*+POWER((F111+F112+F113),3)/12,0)</f>
        <v>0</v>
      </c>
      <c r="G115" s="997">
        <f t="shared" si="95"/>
        <v>0</v>
      </c>
      <c r="H115" s="997">
        <f t="shared" si="95"/>
        <v>0</v>
      </c>
      <c r="I115" s="1048">
        <f t="shared" si="95"/>
        <v>0</v>
      </c>
      <c r="J115" s="1049">
        <f t="shared" si="95"/>
        <v>0</v>
      </c>
      <c r="K115" s="997">
        <f>ROUNDUP(K110*+POWER(K111*K547,3)/12,0)</f>
        <v>0</v>
      </c>
      <c r="L115" s="997">
        <f>ROUNDUP(L110*+POWER(L111*L547,3)/12,0)</f>
        <v>0</v>
      </c>
      <c r="M115" s="997">
        <f>ROUNDUP(M110*+POWER(M111*M547,3)/12,0)</f>
        <v>0</v>
      </c>
      <c r="N115" s="1048">
        <f>ROUNDUP(N110*+POWER(N111*N547,3)/12,0)</f>
        <v>0</v>
      </c>
      <c r="O115" s="1055"/>
      <c r="P115" s="924"/>
      <c r="Q115" s="924"/>
      <c r="R115" s="924"/>
      <c r="S115" s="30"/>
      <c r="T115" s="30"/>
      <c r="U115" s="30"/>
      <c r="V115" s="30"/>
      <c r="W115" s="30"/>
      <c r="X115" s="30"/>
    </row>
    <row r="116" spans="1:24" x14ac:dyDescent="0.15">
      <c r="A116" s="487"/>
      <c r="B116" s="1098"/>
      <c r="C116" s="1722"/>
      <c r="D116" s="984" t="s">
        <v>1341</v>
      </c>
      <c r="E116" s="1049">
        <f>ROUNDUP(E115*E469,0)</f>
        <v>0</v>
      </c>
      <c r="F116" s="997">
        <f t="shared" ref="F116:N116" si="96">ROUNDUP(F115*F469,0)</f>
        <v>0</v>
      </c>
      <c r="G116" s="997">
        <f t="shared" si="96"/>
        <v>0</v>
      </c>
      <c r="H116" s="997">
        <f t="shared" si="96"/>
        <v>0</v>
      </c>
      <c r="I116" s="1048">
        <f t="shared" si="96"/>
        <v>0</v>
      </c>
      <c r="J116" s="1049">
        <f t="shared" si="96"/>
        <v>0</v>
      </c>
      <c r="K116" s="997">
        <f t="shared" si="96"/>
        <v>0</v>
      </c>
      <c r="L116" s="997">
        <f t="shared" si="96"/>
        <v>0</v>
      </c>
      <c r="M116" s="997">
        <f t="shared" si="96"/>
        <v>0</v>
      </c>
      <c r="N116" s="1048">
        <f t="shared" si="96"/>
        <v>0</v>
      </c>
      <c r="O116" s="1055"/>
      <c r="P116" s="401"/>
      <c r="Q116" s="401"/>
      <c r="R116" s="401"/>
      <c r="S116" s="30"/>
      <c r="T116" s="30"/>
      <c r="U116" s="30"/>
      <c r="V116" s="30"/>
      <c r="W116" s="30"/>
      <c r="X116" s="30"/>
    </row>
    <row r="117" spans="1:24" x14ac:dyDescent="0.15">
      <c r="A117" s="487"/>
      <c r="B117" s="1098"/>
      <c r="C117" s="1722"/>
      <c r="D117" s="984" t="s">
        <v>291</v>
      </c>
      <c r="E117" s="1065">
        <f>ROUNDUP(E110*+POWER((E111+E112+E113),2)/6,0)</f>
        <v>0</v>
      </c>
      <c r="F117" s="1005">
        <f t="shared" ref="F117:J117" si="97">ROUNDUP(F110*+POWER((F111+F112+F113),2)/6,0)</f>
        <v>0</v>
      </c>
      <c r="G117" s="1005">
        <f t="shared" si="97"/>
        <v>0</v>
      </c>
      <c r="H117" s="1005">
        <f t="shared" si="97"/>
        <v>0</v>
      </c>
      <c r="I117" s="1053">
        <f t="shared" si="97"/>
        <v>0</v>
      </c>
      <c r="J117" s="1065">
        <f t="shared" si="97"/>
        <v>0</v>
      </c>
      <c r="K117" s="997"/>
      <c r="L117" s="997"/>
      <c r="M117" s="997"/>
      <c r="N117" s="1048"/>
      <c r="O117" s="1055"/>
      <c r="P117" s="401"/>
      <c r="Q117" s="401"/>
      <c r="R117" s="401"/>
      <c r="S117" s="30"/>
      <c r="T117" s="30"/>
      <c r="U117" s="30"/>
      <c r="V117" s="30"/>
      <c r="W117" s="30"/>
      <c r="X117" s="30"/>
    </row>
    <row r="118" spans="1:24" x14ac:dyDescent="0.15">
      <c r="A118" s="487"/>
      <c r="B118" s="1098"/>
      <c r="C118" s="1722"/>
      <c r="D118" s="984" t="s">
        <v>1344</v>
      </c>
      <c r="E118" s="1065">
        <f>ROUNDUP(E117*E470,0)</f>
        <v>0</v>
      </c>
      <c r="F118" s="1005">
        <f t="shared" ref="F118:N118" si="98">ROUNDUP(F117*F470,0)</f>
        <v>0</v>
      </c>
      <c r="G118" s="1005">
        <f t="shared" si="98"/>
        <v>0</v>
      </c>
      <c r="H118" s="1005">
        <f t="shared" si="98"/>
        <v>0</v>
      </c>
      <c r="I118" s="1053">
        <f t="shared" si="98"/>
        <v>0</v>
      </c>
      <c r="J118" s="1065">
        <f t="shared" si="98"/>
        <v>0</v>
      </c>
      <c r="K118" s="1005">
        <f t="shared" si="98"/>
        <v>0</v>
      </c>
      <c r="L118" s="1005">
        <f t="shared" si="98"/>
        <v>0</v>
      </c>
      <c r="M118" s="1005">
        <f t="shared" si="98"/>
        <v>0</v>
      </c>
      <c r="N118" s="1053">
        <f t="shared" si="98"/>
        <v>0</v>
      </c>
      <c r="O118" s="1071"/>
      <c r="P118" s="401"/>
      <c r="Q118" s="401"/>
      <c r="R118" s="401"/>
      <c r="S118" s="30"/>
      <c r="T118" s="30"/>
      <c r="U118" s="30"/>
      <c r="V118" s="30"/>
      <c r="W118" s="30"/>
      <c r="X118" s="30"/>
    </row>
    <row r="119" spans="1:24" x14ac:dyDescent="0.15">
      <c r="A119" s="487"/>
      <c r="B119" s="1098"/>
      <c r="C119" s="1722"/>
      <c r="D119" s="984" t="s">
        <v>1345</v>
      </c>
      <c r="E119" s="1049">
        <f>IF(E117=0,0,+ROUNDUP(IF(断面算定3!$BF$18&gt;=断面算定3!$BI$18,断面算定3!$BF$18,断面算定3!$BI$18)*断面算定3!$BL$18/E118,1))</f>
        <v>0</v>
      </c>
      <c r="F119" s="997">
        <f>IF(F117=0,0,+ROUNDUP(IF(断面算定3!$BF$24&gt;=断面算定3!$BI$24,断面算定3!$BF$24,断面算定3!$BI$24)*断面算定3!$BL$24/F118,1))</f>
        <v>0</v>
      </c>
      <c r="G119" s="997">
        <f>IF(G117=0,0,+ROUNDUP(IF(断面算定3!$BF$30&gt;=断面算定3!$BI$30,断面算定3!$BF$30,断面算定3!$BI$30)*断面算定3!$BL$30/G118,1))</f>
        <v>0</v>
      </c>
      <c r="H119" s="997">
        <f>IF(H117=0,0,+ROUNDUP(IF(断面算定3!$BF$36&gt;=断面算定3!$BI$36,断面算定3!$BF$36,断面算定3!$BI$36)*断面算定3!$BL$36/H118,1))</f>
        <v>0</v>
      </c>
      <c r="I119" s="1048">
        <f>IF(I117=0,0,+ROUNDUP(IF(断面算定3!$BF$42&gt;=断面算定3!$BI$42,断面算定3!$BF$42,断面算定3!$BI$42)*断面算定3!$BL$42/I118,1))</f>
        <v>0</v>
      </c>
      <c r="J119" s="1049">
        <f>IF(J117=0,0,+ROUNDUP(IF(断面算定3!$BE$61&gt;=断面算定3!$BH$61,断面算定3!$BE$61,断面算定3!$BH$61)*断面算定3!$BK$61/J118,1))</f>
        <v>0</v>
      </c>
      <c r="K119" s="997">
        <f>IF(K117=0,0,+ROUNDUP(IF(断面算定3!$BE$69&gt;=断面算定3!$BH$69,断面算定3!$BE$69,断面算定3!$BH$69)*断面算定3!$BK$69/K118,1))</f>
        <v>0</v>
      </c>
      <c r="L119" s="997">
        <f>IF(L117=0,0,+ROUNDUP(IF(断面算定3!$BE$77&gt;=断面算定3!$BH$77,断面算定3!$BE$77,断面算定3!$BH$77)*断面算定3!$BK$77/L118,1))</f>
        <v>0</v>
      </c>
      <c r="M119" s="997">
        <f>IF(M117=0,0,+ROUNDUP(IF(断面算定3!$BE$85&gt;=断面算定3!$BH$85,断面算定3!$BE$85,断面算定3!$BH$85)*断面算定3!$BK$85/M118,1))</f>
        <v>0</v>
      </c>
      <c r="N119" s="1048">
        <f>IF(N117=0,0,+ROUNDUP(IF(断面算定3!$BE$93&gt;=断面算定3!$BH$93,断面算定3!$BE$93,断面算定3!$BH$93)*断面算定3!$BK$93/N118,1))</f>
        <v>0</v>
      </c>
      <c r="O119" s="1055"/>
      <c r="P119" s="401"/>
      <c r="Q119" s="401"/>
      <c r="R119" s="401"/>
      <c r="S119" s="30"/>
      <c r="T119" s="30"/>
      <c r="U119" s="30"/>
      <c r="V119" s="30"/>
      <c r="W119" s="30"/>
      <c r="X119" s="30"/>
    </row>
    <row r="120" spans="1:24" x14ac:dyDescent="0.15">
      <c r="A120" s="487"/>
      <c r="B120" s="1098"/>
      <c r="C120" s="1722"/>
      <c r="D120" s="1078" t="s">
        <v>194</v>
      </c>
      <c r="E120" s="1051">
        <f>IF(E119=0,0,+ROUND(E119/E104,2))</f>
        <v>0</v>
      </c>
      <c r="F120" s="1004">
        <f t="shared" ref="F120" si="99">IF(F119=0,0,+ROUND(F119/F104,2))</f>
        <v>0</v>
      </c>
      <c r="G120" s="1004">
        <f t="shared" ref="G120" si="100">IF(G119=0,0,+ROUND(G119/G104,2))</f>
        <v>0</v>
      </c>
      <c r="H120" s="1004">
        <f t="shared" ref="H120" si="101">IF(H119=0,0,+ROUND(H119/H104,2))</f>
        <v>0</v>
      </c>
      <c r="I120" s="1050">
        <f t="shared" ref="I120" si="102">IF(I119=0,0,+ROUND(I119/I104,2))</f>
        <v>0</v>
      </c>
      <c r="J120" s="1051">
        <f t="shared" ref="J120:N120" si="103">IF(J119=0,0,+ROUND(J119/J104,2))</f>
        <v>0</v>
      </c>
      <c r="K120" s="1004">
        <f t="shared" si="103"/>
        <v>0</v>
      </c>
      <c r="L120" s="1004">
        <f t="shared" si="103"/>
        <v>0</v>
      </c>
      <c r="M120" s="1004">
        <f t="shared" si="103"/>
        <v>0</v>
      </c>
      <c r="N120" s="1050">
        <f t="shared" si="103"/>
        <v>0</v>
      </c>
      <c r="O120" s="1055"/>
      <c r="P120" s="401"/>
      <c r="Q120" s="401"/>
      <c r="R120" s="401"/>
      <c r="S120" s="30"/>
      <c r="T120" s="30"/>
      <c r="U120" s="30"/>
      <c r="V120" s="30"/>
      <c r="W120" s="30"/>
      <c r="X120" s="30"/>
    </row>
    <row r="121" spans="1:24" x14ac:dyDescent="0.15">
      <c r="A121" s="487"/>
      <c r="B121" s="1098"/>
      <c r="C121" s="1297"/>
      <c r="D121" s="1107" t="s">
        <v>165</v>
      </c>
      <c r="E121" s="1066">
        <f>IF(E120=0,0,IF(E120&lt;=1,"OK!","NO!"))</f>
        <v>0</v>
      </c>
      <c r="F121" s="990">
        <f t="shared" ref="F121" si="104">IF(F120=0,0,IF(F120&lt;=1,"OK!","NO!"))</f>
        <v>0</v>
      </c>
      <c r="G121" s="990">
        <f t="shared" ref="G121" si="105">IF(G120=0,0,IF(G120&lt;=1,"OK!","NO!"))</f>
        <v>0</v>
      </c>
      <c r="H121" s="990">
        <f t="shared" ref="H121" si="106">IF(H120=0,0,IF(H120&lt;=1,"OK!","NO!"))</f>
        <v>0</v>
      </c>
      <c r="I121" s="1054">
        <f t="shared" ref="I121" si="107">IF(I120=0,0,IF(I120&lt;=1,"OK!","NO!"))</f>
        <v>0</v>
      </c>
      <c r="J121" s="1066">
        <f t="shared" ref="J121:N121" si="108">IF(J120=0,0,IF(J120&lt;=1,"OK!","NO!"))</f>
        <v>0</v>
      </c>
      <c r="K121" s="990">
        <f t="shared" si="108"/>
        <v>0</v>
      </c>
      <c r="L121" s="990">
        <f t="shared" si="108"/>
        <v>0</v>
      </c>
      <c r="M121" s="990">
        <f t="shared" si="108"/>
        <v>0</v>
      </c>
      <c r="N121" s="1054">
        <f t="shared" si="108"/>
        <v>0</v>
      </c>
      <c r="O121" s="520"/>
      <c r="P121" s="401"/>
      <c r="Q121" s="401"/>
      <c r="R121" s="401"/>
      <c r="S121" s="30"/>
      <c r="T121" s="30"/>
      <c r="U121" s="30"/>
      <c r="V121" s="30"/>
      <c r="W121" s="30"/>
      <c r="X121" s="30"/>
    </row>
    <row r="122" spans="1:24" x14ac:dyDescent="0.15">
      <c r="A122" s="487"/>
      <c r="B122" s="1098"/>
      <c r="C122" s="1056" t="s">
        <v>1530</v>
      </c>
      <c r="D122" s="1108" t="s">
        <v>1529</v>
      </c>
      <c r="E122" s="1051">
        <f>IF(E103=0,0,ROUNDUP(IF(断面算定3!$BG$18&gt;=断面算定3!$BJ$18,断面算定3!$BG$18,断面算定3!$BJ$18)*断面算定3!$AU$19/E116,2))</f>
        <v>0</v>
      </c>
      <c r="F122" s="1004">
        <f>IF(F103=0,0,ROUNDUP(IF(断面算定3!$BG$24&gt;=断面算定3!$BJ$24,断面算定3!$BG$24,断面算定3!$BJ$24)*断面算定3!$AU$25/F116,2))</f>
        <v>0</v>
      </c>
      <c r="G122" s="1004">
        <f>IF(G103=0,0,ROUNDUP(IF(断面算定3!$BG$30&gt;=断面算定3!$BJ$30,断面算定3!$BG$30,断面算定3!$BJ$30)*断面算定3!$AU$31/G116,2))</f>
        <v>0</v>
      </c>
      <c r="H122" s="1004">
        <f>IF(H103=0,0,ROUNDUP(IF(断面算定3!$BG$36&gt;=断面算定3!$BJ$36,断面算定3!$BG$36,断面算定3!$BJ$36)*断面算定3!$AU$37/H116,2))</f>
        <v>0</v>
      </c>
      <c r="I122" s="1050">
        <f>IF(I103=0,0,ROUNDUP(IF(断面算定3!$BG$42&gt;=断面算定3!$BJ$42,断面算定3!$BG$42,断面算定3!$BJ$42)*断面算定3!$AU$43/I116,2))</f>
        <v>0</v>
      </c>
      <c r="J122" s="1051">
        <f>IF(J103=0,0,ROUNDUP((IF(断面算定3!$BQ$59&gt;=断面算定3!$BS$59,断面算定3!$BQ$59,断面算定3!$BS$59)+断面算定3!$CC$60+IF(断面算定3!$DC$59&gt;=断面算定3!$DD$59,断面算定3!$DC$59,断面算定3!$DD$59))/J116,2))</f>
        <v>0</v>
      </c>
      <c r="K122" s="1004">
        <f>IF(K103=0,0,ROUNDUP((IF(断面算定3!$BQ$67&gt;=断面算定3!$BS$67,断面算定3!$BQ$67,断面算定3!$BS$67)+断面算定3!$CC$68+IF(断面算定3!$DC$67&gt;=断面算定3!$DD$67,断面算定3!$DC$67,断面算定3!$DD$67))/K116,2))</f>
        <v>0</v>
      </c>
      <c r="L122" s="1004">
        <f>IF(L103=0,0,ROUNDUP((IF(断面算定3!$BQ$75&gt;=断面算定3!$BS$75,断面算定3!$BQ$75,断面算定3!$BS$75)+断面算定3!$CC$76+IF(断面算定3!$DC$75&gt;=断面算定3!$DD$75,断面算定3!$DC$75,断面算定3!$DD$75))/L116,2))</f>
        <v>0</v>
      </c>
      <c r="M122" s="1004">
        <f>IF(M103=0,0,ROUNDUP((IF(断面算定3!$BQ$83&gt;=断面算定3!$BS$83,断面算定3!$BQ$83,断面算定3!$BS$83)+断面算定3!$CC$840+IF(断面算定3!$DC$83&gt;=断面算定3!$DD$83,断面算定3!$DC$83,断面算定3!$DD$83))/M116,2))</f>
        <v>0</v>
      </c>
      <c r="N122" s="1050">
        <f>IF(N103=0,0,ROUNDUP((IF(断面算定3!$BQ$91&gt;=断面算定3!$BS$91,断面算定3!$BQ$91,断面算定3!$BS$91)+断面算定3!$CC$92+IF(断面算定3!$DC$91&gt;=断面算定3!$DD$91,断面算定3!$DC$91,断面算定3!$DD$91))/N116,2))</f>
        <v>0</v>
      </c>
      <c r="O122" s="1072"/>
      <c r="P122" s="401"/>
      <c r="Q122" s="401"/>
      <c r="R122" s="401"/>
      <c r="S122" s="30"/>
      <c r="T122" s="30"/>
      <c r="U122" s="30"/>
      <c r="V122" s="30"/>
      <c r="W122" s="30"/>
      <c r="X122" s="30"/>
    </row>
    <row r="123" spans="1:24" x14ac:dyDescent="0.15">
      <c r="A123" s="487"/>
      <c r="B123" s="1098"/>
      <c r="C123" s="988" t="s">
        <v>1321</v>
      </c>
      <c r="D123" s="984" t="s">
        <v>1322</v>
      </c>
      <c r="E123" s="1052">
        <f>IF(E103=0,0,断面算定3!$BE$20)</f>
        <v>0</v>
      </c>
      <c r="F123" s="1001">
        <f>IF(F103=0,0,断面算定3!$BE$26)</f>
        <v>0</v>
      </c>
      <c r="G123" s="1001">
        <f>IF(G103=0,0,断面算定3!$BE$32)</f>
        <v>0</v>
      </c>
      <c r="H123" s="1001">
        <f>IF(H103=0,0,断面算定3!$BE$38)</f>
        <v>0</v>
      </c>
      <c r="I123" s="1076">
        <f>IF(I103=0,0,断面算定3!$BE$44)</f>
        <v>0</v>
      </c>
      <c r="J123" s="1052">
        <f>IF(J103=0,0,断面算定3!$BD$61)</f>
        <v>0</v>
      </c>
      <c r="K123" s="1001">
        <f>IF(K103=0,0,断面算定3!$BD$69)</f>
        <v>0</v>
      </c>
      <c r="L123" s="1001">
        <f>IF(L103=0,0,断面算定3!$BD$77)</f>
        <v>0</v>
      </c>
      <c r="M123" s="1001">
        <f>IF(M103=0,0,断面算定3!$BD$85)</f>
        <v>0</v>
      </c>
      <c r="N123" s="1076">
        <f>IF(N103=0,0,断面算定3!$BD$93)</f>
        <v>0</v>
      </c>
      <c r="O123" s="1015"/>
      <c r="P123" s="401"/>
      <c r="Q123" s="401"/>
      <c r="R123" s="401"/>
      <c r="S123" s="30"/>
      <c r="T123" s="30"/>
      <c r="U123" s="30"/>
      <c r="V123" s="30"/>
      <c r="W123" s="30"/>
      <c r="X123" s="30"/>
    </row>
    <row r="124" spans="1:24" ht="15" thickBot="1" x14ac:dyDescent="0.2">
      <c r="A124" s="487"/>
      <c r="B124" s="1099"/>
      <c r="C124" s="1100" t="s">
        <v>165</v>
      </c>
      <c r="D124" s="1109"/>
      <c r="E124" s="1103">
        <f>IF(E103=0,0,IF(E122&lt;=2,"OK!","NO!"))</f>
        <v>0</v>
      </c>
      <c r="F124" s="1101">
        <f t="shared" ref="F124:N124" si="109">IF(F103=0,0,IF(F122&lt;=2,"OK!","NO!"))</f>
        <v>0</v>
      </c>
      <c r="G124" s="1101">
        <f t="shared" si="109"/>
        <v>0</v>
      </c>
      <c r="H124" s="1101">
        <f t="shared" si="109"/>
        <v>0</v>
      </c>
      <c r="I124" s="1102">
        <f t="shared" si="109"/>
        <v>0</v>
      </c>
      <c r="J124" s="1103">
        <f t="shared" si="109"/>
        <v>0</v>
      </c>
      <c r="K124" s="1101">
        <f t="shared" si="109"/>
        <v>0</v>
      </c>
      <c r="L124" s="1101">
        <f t="shared" si="109"/>
        <v>0</v>
      </c>
      <c r="M124" s="1101">
        <f t="shared" si="109"/>
        <v>0</v>
      </c>
      <c r="N124" s="1102">
        <f t="shared" si="109"/>
        <v>0</v>
      </c>
      <c r="O124" s="1073"/>
      <c r="P124" s="401"/>
      <c r="Q124" s="401"/>
      <c r="R124" s="401"/>
      <c r="S124" s="30"/>
      <c r="T124" s="30"/>
      <c r="U124" s="30"/>
      <c r="V124" s="30"/>
      <c r="W124" s="30"/>
      <c r="X124" s="30"/>
    </row>
    <row r="125" spans="1:24" x14ac:dyDescent="0.15">
      <c r="A125" s="487"/>
      <c r="B125" s="487"/>
      <c r="C125" s="487"/>
      <c r="D125" s="525"/>
      <c r="E125" s="525"/>
      <c r="F125" s="525"/>
      <c r="G125" s="525"/>
      <c r="H125" s="525"/>
      <c r="I125" s="525"/>
      <c r="J125" s="525"/>
      <c r="K125" s="487"/>
      <c r="L125" s="487"/>
      <c r="M125" s="487"/>
      <c r="N125" s="487"/>
      <c r="O125" s="520"/>
      <c r="P125" s="30"/>
      <c r="Q125" s="30"/>
      <c r="R125" s="30"/>
      <c r="S125" s="30"/>
      <c r="T125" s="30"/>
      <c r="U125" s="30"/>
      <c r="V125" s="30"/>
      <c r="W125" s="30"/>
      <c r="X125" s="30"/>
    </row>
    <row r="126" spans="1:24" x14ac:dyDescent="0.15">
      <c r="D126" s="932"/>
      <c r="E126" s="932"/>
      <c r="F126" s="932"/>
      <c r="G126" s="932"/>
      <c r="H126" s="932"/>
      <c r="I126" s="932"/>
      <c r="J126" s="932"/>
      <c r="O126" s="30"/>
      <c r="P126" s="30"/>
      <c r="Q126" s="30"/>
      <c r="R126" s="30"/>
      <c r="S126" s="30"/>
      <c r="T126" s="30"/>
      <c r="U126" s="30"/>
      <c r="V126" s="30"/>
      <c r="W126" s="30"/>
      <c r="X126" s="30"/>
    </row>
    <row r="127" spans="1:24" x14ac:dyDescent="0.15">
      <c r="D127" s="932"/>
      <c r="E127" s="932"/>
      <c r="F127" s="932"/>
      <c r="G127" s="932"/>
      <c r="H127" s="932"/>
      <c r="I127" s="932"/>
      <c r="J127" s="932"/>
      <c r="O127" s="30"/>
      <c r="P127" s="30"/>
      <c r="Q127" s="30"/>
      <c r="R127" s="30"/>
      <c r="S127" s="30"/>
      <c r="T127" s="30"/>
      <c r="U127" s="30"/>
      <c r="V127" s="30"/>
      <c r="W127" s="30"/>
      <c r="X127" s="30"/>
    </row>
    <row r="128" spans="1:24" x14ac:dyDescent="0.15">
      <c r="D128" s="932"/>
      <c r="E128" s="932"/>
      <c r="F128" s="932"/>
      <c r="G128" s="932"/>
      <c r="H128" s="932"/>
      <c r="I128" s="932"/>
      <c r="J128" s="932"/>
      <c r="O128" s="30"/>
      <c r="P128" s="30"/>
      <c r="Q128" s="30"/>
      <c r="R128" s="30"/>
      <c r="S128" s="30"/>
      <c r="T128" s="30"/>
      <c r="U128" s="30"/>
      <c r="V128" s="30"/>
      <c r="W128" s="30"/>
      <c r="X128" s="30"/>
    </row>
    <row r="129" spans="4:24" x14ac:dyDescent="0.15">
      <c r="D129" s="932"/>
      <c r="E129" s="932"/>
      <c r="F129" s="932"/>
      <c r="G129" s="932"/>
      <c r="H129" s="932"/>
      <c r="I129" s="932"/>
      <c r="J129" s="932"/>
      <c r="O129" s="30"/>
      <c r="P129" s="30"/>
      <c r="Q129" s="30"/>
      <c r="R129" s="30"/>
      <c r="S129" s="30"/>
      <c r="T129" s="30"/>
      <c r="U129" s="30"/>
      <c r="V129" s="30"/>
      <c r="W129" s="30"/>
      <c r="X129" s="30"/>
    </row>
    <row r="130" spans="4:24" x14ac:dyDescent="0.15">
      <c r="D130" s="932"/>
      <c r="E130" s="932"/>
      <c r="F130" s="932"/>
      <c r="G130" s="932"/>
      <c r="H130" s="932"/>
      <c r="I130" s="932"/>
      <c r="J130" s="932"/>
      <c r="O130" s="30"/>
      <c r="P130" s="30"/>
      <c r="Q130" s="30"/>
      <c r="R130" s="30"/>
      <c r="S130" s="30"/>
      <c r="T130" s="30"/>
      <c r="U130" s="30"/>
      <c r="V130" s="30"/>
      <c r="W130" s="30"/>
      <c r="X130" s="30"/>
    </row>
    <row r="131" spans="4:24" x14ac:dyDescent="0.15">
      <c r="D131" s="932"/>
      <c r="E131" s="932"/>
      <c r="F131" s="932"/>
      <c r="G131" s="932"/>
      <c r="H131" s="932"/>
      <c r="I131" s="932"/>
      <c r="J131" s="932"/>
      <c r="O131" s="30"/>
      <c r="P131" s="30"/>
      <c r="Q131" s="30"/>
      <c r="R131" s="30"/>
      <c r="S131" s="30"/>
      <c r="T131" s="30"/>
      <c r="U131" s="30"/>
      <c r="V131" s="30"/>
      <c r="W131" s="30"/>
      <c r="X131" s="30"/>
    </row>
    <row r="132" spans="4:24" x14ac:dyDescent="0.15">
      <c r="D132" s="932"/>
      <c r="E132" s="932"/>
      <c r="F132" s="932"/>
      <c r="G132" s="932"/>
      <c r="H132" s="932"/>
      <c r="I132" s="932"/>
      <c r="J132" s="932"/>
      <c r="O132" s="30"/>
      <c r="P132" s="30"/>
      <c r="Q132" s="30"/>
      <c r="R132" s="30"/>
      <c r="S132" s="30"/>
      <c r="T132" s="30"/>
      <c r="U132" s="30"/>
      <c r="V132" s="30"/>
      <c r="W132" s="30"/>
      <c r="X132" s="30"/>
    </row>
    <row r="133" spans="4:24" x14ac:dyDescent="0.15">
      <c r="D133" s="932"/>
      <c r="E133" s="932"/>
      <c r="F133" s="932"/>
      <c r="G133" s="932"/>
      <c r="H133" s="932"/>
      <c r="I133" s="932"/>
      <c r="J133" s="932"/>
      <c r="O133" s="30"/>
      <c r="P133" s="30"/>
      <c r="Q133" s="30"/>
      <c r="R133" s="30"/>
      <c r="S133" s="30"/>
      <c r="T133" s="30"/>
      <c r="U133" s="30"/>
      <c r="V133" s="30"/>
      <c r="W133" s="30"/>
      <c r="X133" s="30"/>
    </row>
    <row r="134" spans="4:24" x14ac:dyDescent="0.15">
      <c r="D134" s="932"/>
      <c r="E134" s="932"/>
      <c r="F134" s="932"/>
      <c r="G134" s="932"/>
      <c r="H134" s="932"/>
      <c r="I134" s="932"/>
      <c r="J134" s="932"/>
      <c r="O134" s="30"/>
      <c r="P134" s="30"/>
      <c r="Q134" s="30"/>
      <c r="R134" s="30"/>
      <c r="S134" s="30"/>
      <c r="T134" s="30"/>
      <c r="U134" s="30"/>
      <c r="V134" s="30"/>
      <c r="W134" s="30"/>
      <c r="X134" s="30"/>
    </row>
    <row r="135" spans="4:24" x14ac:dyDescent="0.15">
      <c r="D135" s="932"/>
      <c r="E135" s="932"/>
      <c r="F135" s="932"/>
      <c r="G135" s="932"/>
      <c r="H135" s="932"/>
      <c r="I135" s="932"/>
      <c r="J135" s="932"/>
      <c r="O135" s="30"/>
      <c r="P135" s="30"/>
      <c r="Q135" s="30"/>
      <c r="R135" s="30"/>
      <c r="S135" s="30"/>
      <c r="T135" s="30"/>
      <c r="U135" s="30"/>
      <c r="V135" s="30"/>
      <c r="W135" s="30"/>
      <c r="X135" s="30"/>
    </row>
    <row r="136" spans="4:24" x14ac:dyDescent="0.15">
      <c r="D136" s="932"/>
      <c r="E136" s="932"/>
      <c r="F136" s="932"/>
      <c r="G136" s="932"/>
      <c r="H136" s="932"/>
      <c r="I136" s="932"/>
      <c r="J136" s="932"/>
      <c r="O136" s="30"/>
      <c r="P136" s="30"/>
      <c r="Q136" s="30"/>
      <c r="R136" s="30"/>
      <c r="S136" s="30"/>
      <c r="T136" s="30"/>
      <c r="U136" s="30"/>
      <c r="V136" s="30"/>
      <c r="W136" s="30"/>
      <c r="X136" s="30"/>
    </row>
    <row r="137" spans="4:24" x14ac:dyDescent="0.15">
      <c r="D137" s="932"/>
      <c r="E137" s="932"/>
      <c r="F137" s="932"/>
      <c r="G137" s="932"/>
      <c r="H137" s="932"/>
      <c r="I137" s="932"/>
      <c r="J137" s="932"/>
      <c r="O137" s="30"/>
      <c r="P137" s="30"/>
      <c r="Q137" s="30"/>
      <c r="R137" s="30"/>
      <c r="S137" s="30"/>
      <c r="T137" s="30"/>
      <c r="U137" s="30"/>
      <c r="V137" s="30"/>
      <c r="W137" s="30"/>
      <c r="X137" s="30"/>
    </row>
    <row r="138" spans="4:24" x14ac:dyDescent="0.15">
      <c r="D138" s="932"/>
      <c r="E138" s="932"/>
      <c r="F138" s="932"/>
      <c r="G138" s="932"/>
      <c r="H138" s="932"/>
      <c r="I138" s="932"/>
      <c r="J138" s="932"/>
      <c r="O138" s="30"/>
      <c r="P138" s="30"/>
      <c r="Q138" s="30"/>
      <c r="R138" s="30"/>
      <c r="S138" s="30"/>
      <c r="T138" s="30"/>
      <c r="U138" s="30"/>
      <c r="V138" s="30"/>
      <c r="W138" s="30"/>
      <c r="X138" s="30"/>
    </row>
    <row r="139" spans="4:24" x14ac:dyDescent="0.15">
      <c r="D139" s="932"/>
      <c r="E139" s="932"/>
      <c r="F139" s="932"/>
      <c r="G139" s="932"/>
      <c r="H139" s="932"/>
      <c r="I139" s="932"/>
      <c r="J139" s="932"/>
      <c r="O139" s="30"/>
      <c r="P139" s="30"/>
      <c r="Q139" s="30"/>
      <c r="R139" s="30"/>
      <c r="S139" s="30"/>
      <c r="T139" s="30"/>
      <c r="U139" s="30"/>
      <c r="V139" s="30"/>
      <c r="W139" s="30"/>
      <c r="X139" s="30"/>
    </row>
    <row r="140" spans="4:24" x14ac:dyDescent="0.15">
      <c r="D140" s="932"/>
      <c r="E140" s="932"/>
      <c r="F140" s="932"/>
      <c r="G140" s="932"/>
      <c r="H140" s="932"/>
      <c r="I140" s="932"/>
      <c r="J140" s="932"/>
      <c r="O140" s="30"/>
      <c r="P140" s="30"/>
      <c r="Q140" s="30"/>
      <c r="R140" s="30"/>
      <c r="S140" s="30"/>
      <c r="T140" s="30"/>
      <c r="U140" s="30"/>
      <c r="V140" s="30"/>
      <c r="W140" s="30"/>
      <c r="X140" s="30"/>
    </row>
    <row r="141" spans="4:24" x14ac:dyDescent="0.15">
      <c r="D141" s="932"/>
      <c r="E141" s="932"/>
      <c r="F141" s="932"/>
      <c r="G141" s="932"/>
      <c r="H141" s="932"/>
      <c r="I141" s="932"/>
      <c r="J141" s="932"/>
      <c r="O141" s="30"/>
      <c r="P141" s="30"/>
      <c r="Q141" s="30"/>
      <c r="R141" s="30"/>
      <c r="S141" s="30"/>
      <c r="T141" s="30"/>
      <c r="U141" s="30"/>
      <c r="V141" s="30"/>
      <c r="W141" s="30"/>
      <c r="X141" s="30"/>
    </row>
    <row r="142" spans="4:24" x14ac:dyDescent="0.15">
      <c r="D142" s="932"/>
      <c r="E142" s="932"/>
      <c r="F142" s="932"/>
      <c r="G142" s="932"/>
      <c r="H142" s="932"/>
      <c r="I142" s="932"/>
      <c r="J142" s="932"/>
      <c r="O142" s="30"/>
      <c r="P142" s="30"/>
      <c r="Q142" s="30"/>
      <c r="R142" s="30"/>
      <c r="S142" s="30"/>
      <c r="T142" s="30"/>
      <c r="U142" s="30"/>
      <c r="V142" s="30"/>
      <c r="W142" s="30"/>
      <c r="X142" s="30"/>
    </row>
    <row r="143" spans="4:24" x14ac:dyDescent="0.15">
      <c r="D143" s="932"/>
      <c r="E143" s="932"/>
      <c r="F143" s="932"/>
      <c r="G143" s="932"/>
      <c r="H143" s="932"/>
      <c r="I143" s="932"/>
      <c r="J143" s="932"/>
      <c r="O143" s="30"/>
      <c r="P143" s="30"/>
      <c r="Q143" s="30"/>
      <c r="R143" s="30"/>
      <c r="S143" s="30"/>
      <c r="T143" s="30"/>
      <c r="U143" s="30"/>
      <c r="V143" s="30"/>
      <c r="W143" s="30"/>
      <c r="X143" s="30"/>
    </row>
    <row r="144" spans="4:24" x14ac:dyDescent="0.15">
      <c r="D144" s="932"/>
      <c r="E144" s="932"/>
      <c r="F144" s="932"/>
      <c r="G144" s="932"/>
      <c r="H144" s="932"/>
      <c r="I144" s="932"/>
      <c r="J144" s="932"/>
      <c r="O144" s="30"/>
      <c r="P144" s="30"/>
      <c r="Q144" s="30"/>
      <c r="R144" s="30"/>
      <c r="S144" s="30"/>
      <c r="T144" s="30"/>
      <c r="U144" s="30"/>
      <c r="V144" s="30"/>
      <c r="W144" s="30"/>
      <c r="X144" s="30"/>
    </row>
    <row r="145" spans="4:24" x14ac:dyDescent="0.15">
      <c r="D145" s="932"/>
      <c r="E145" s="932"/>
      <c r="F145" s="932"/>
      <c r="G145" s="932"/>
      <c r="H145" s="932"/>
      <c r="I145" s="932"/>
      <c r="J145" s="932"/>
      <c r="O145" s="30"/>
      <c r="P145" s="30"/>
      <c r="Q145" s="30"/>
      <c r="R145" s="30"/>
      <c r="S145" s="30"/>
      <c r="T145" s="30"/>
      <c r="U145" s="30"/>
      <c r="V145" s="30"/>
      <c r="W145" s="30"/>
      <c r="X145" s="30"/>
    </row>
    <row r="146" spans="4:24" x14ac:dyDescent="0.15">
      <c r="D146" s="932"/>
      <c r="E146" s="932"/>
      <c r="F146" s="932"/>
      <c r="G146" s="932"/>
      <c r="H146" s="932"/>
      <c r="I146" s="932"/>
      <c r="J146" s="932"/>
      <c r="O146" s="30"/>
      <c r="P146" s="30"/>
      <c r="Q146" s="30"/>
      <c r="R146" s="30"/>
      <c r="S146" s="30"/>
      <c r="T146" s="30"/>
      <c r="U146" s="30"/>
      <c r="V146" s="30"/>
      <c r="W146" s="30"/>
      <c r="X146" s="30"/>
    </row>
    <row r="147" spans="4:24" x14ac:dyDescent="0.15">
      <c r="D147" s="932"/>
      <c r="E147" s="932"/>
      <c r="F147" s="932"/>
      <c r="G147" s="932"/>
      <c r="H147" s="932"/>
      <c r="I147" s="932"/>
      <c r="J147" s="932"/>
      <c r="O147" s="30"/>
      <c r="P147" s="30"/>
      <c r="Q147" s="30"/>
      <c r="R147" s="30"/>
      <c r="S147" s="30"/>
      <c r="T147" s="30"/>
      <c r="U147" s="30"/>
      <c r="V147" s="30"/>
      <c r="W147" s="30"/>
      <c r="X147" s="30"/>
    </row>
    <row r="148" spans="4:24" x14ac:dyDescent="0.15">
      <c r="D148" s="932"/>
      <c r="E148" s="932"/>
      <c r="F148" s="932"/>
      <c r="G148" s="932"/>
      <c r="H148" s="932"/>
      <c r="I148" s="932"/>
      <c r="J148" s="932"/>
      <c r="O148" s="30"/>
      <c r="P148" s="30"/>
      <c r="Q148" s="30"/>
      <c r="R148" s="30"/>
      <c r="S148" s="30"/>
      <c r="T148" s="30"/>
      <c r="U148" s="30"/>
      <c r="V148" s="30"/>
      <c r="W148" s="30"/>
      <c r="X148" s="30"/>
    </row>
    <row r="149" spans="4:24" x14ac:dyDescent="0.15">
      <c r="D149" s="932"/>
      <c r="E149" s="932"/>
      <c r="F149" s="932"/>
      <c r="G149" s="932"/>
      <c r="H149" s="932"/>
      <c r="I149" s="932"/>
      <c r="J149" s="932"/>
      <c r="O149" s="30"/>
      <c r="P149" s="30"/>
      <c r="Q149" s="30"/>
      <c r="R149" s="30"/>
      <c r="S149" s="30"/>
      <c r="T149" s="30"/>
      <c r="U149" s="30"/>
      <c r="V149" s="30"/>
      <c r="W149" s="30"/>
      <c r="X149" s="30"/>
    </row>
    <row r="150" spans="4:24" x14ac:dyDescent="0.15">
      <c r="D150" s="932"/>
      <c r="E150" s="932"/>
      <c r="F150" s="932"/>
      <c r="G150" s="932"/>
      <c r="H150" s="932"/>
      <c r="I150" s="932"/>
      <c r="J150" s="932"/>
      <c r="O150" s="30"/>
      <c r="P150" s="30"/>
      <c r="Q150" s="30"/>
      <c r="R150" s="30"/>
      <c r="S150" s="30"/>
      <c r="T150" s="30"/>
      <c r="U150" s="30"/>
      <c r="V150" s="30"/>
      <c r="W150" s="30"/>
      <c r="X150" s="30"/>
    </row>
    <row r="151" spans="4:24" x14ac:dyDescent="0.15">
      <c r="D151" s="932"/>
      <c r="E151" s="932"/>
      <c r="F151" s="932"/>
      <c r="G151" s="932"/>
      <c r="H151" s="932"/>
      <c r="I151" s="932"/>
      <c r="J151" s="932"/>
      <c r="O151" s="30"/>
      <c r="P151" s="30"/>
      <c r="Q151" s="30"/>
      <c r="R151" s="30"/>
      <c r="S151" s="30"/>
      <c r="T151" s="30"/>
      <c r="U151" s="30"/>
      <c r="V151" s="30"/>
      <c r="W151" s="30"/>
      <c r="X151" s="30"/>
    </row>
    <row r="152" spans="4:24" x14ac:dyDescent="0.15">
      <c r="D152" s="932"/>
      <c r="E152" s="932"/>
      <c r="F152" s="932"/>
      <c r="G152" s="932"/>
      <c r="H152" s="932"/>
      <c r="I152" s="932"/>
      <c r="J152" s="932"/>
      <c r="O152" s="30"/>
      <c r="P152" s="30"/>
      <c r="Q152" s="30"/>
      <c r="R152" s="30"/>
      <c r="S152" s="30"/>
      <c r="T152" s="30"/>
      <c r="U152" s="30"/>
      <c r="V152" s="30"/>
      <c r="W152" s="30"/>
      <c r="X152" s="30"/>
    </row>
    <row r="153" spans="4:24" x14ac:dyDescent="0.15">
      <c r="D153" s="932"/>
      <c r="E153" s="932"/>
      <c r="F153" s="932"/>
      <c r="G153" s="932"/>
      <c r="H153" s="932"/>
      <c r="I153" s="932"/>
      <c r="J153" s="932"/>
      <c r="O153" s="30"/>
      <c r="P153" s="30"/>
      <c r="Q153" s="30"/>
      <c r="R153" s="30"/>
      <c r="S153" s="30"/>
      <c r="T153" s="30"/>
      <c r="U153" s="30"/>
      <c r="V153" s="30"/>
      <c r="W153" s="30"/>
      <c r="X153" s="30"/>
    </row>
    <row r="154" spans="4:24" x14ac:dyDescent="0.15">
      <c r="D154" s="932"/>
      <c r="E154" s="932"/>
      <c r="F154" s="932"/>
      <c r="G154" s="932"/>
      <c r="H154" s="932"/>
      <c r="I154" s="932"/>
      <c r="J154" s="932"/>
      <c r="O154" s="30"/>
      <c r="P154" s="30"/>
      <c r="Q154" s="30"/>
      <c r="R154" s="30"/>
      <c r="S154" s="30"/>
      <c r="T154" s="30"/>
      <c r="U154" s="30"/>
      <c r="V154" s="30"/>
      <c r="W154" s="30"/>
      <c r="X154" s="30"/>
    </row>
    <row r="155" spans="4:24" x14ac:dyDescent="0.15">
      <c r="D155" s="932"/>
      <c r="E155" s="932"/>
      <c r="F155" s="932"/>
      <c r="G155" s="932"/>
      <c r="H155" s="932"/>
      <c r="I155" s="932"/>
      <c r="J155" s="932"/>
      <c r="O155" s="30"/>
      <c r="P155" s="30"/>
      <c r="Q155" s="30"/>
      <c r="R155" s="30"/>
      <c r="S155" s="30"/>
      <c r="T155" s="30"/>
      <c r="U155" s="30"/>
      <c r="V155" s="30"/>
      <c r="W155" s="30"/>
      <c r="X155" s="30"/>
    </row>
    <row r="156" spans="4:24" x14ac:dyDescent="0.15">
      <c r="D156" s="932"/>
      <c r="E156" s="932"/>
      <c r="F156" s="932"/>
      <c r="G156" s="932"/>
      <c r="H156" s="932"/>
      <c r="I156" s="932"/>
      <c r="J156" s="932"/>
      <c r="O156" s="30"/>
      <c r="P156" s="30"/>
      <c r="Q156" s="30"/>
      <c r="R156" s="30"/>
      <c r="S156" s="30"/>
      <c r="T156" s="30"/>
      <c r="U156" s="30"/>
      <c r="V156" s="30"/>
      <c r="W156" s="30"/>
      <c r="X156" s="30"/>
    </row>
    <row r="157" spans="4:24" x14ac:dyDescent="0.15">
      <c r="D157" s="932"/>
      <c r="E157" s="932"/>
      <c r="F157" s="932"/>
      <c r="G157" s="932"/>
      <c r="H157" s="932"/>
      <c r="I157" s="932"/>
      <c r="J157" s="932"/>
      <c r="O157" s="30"/>
      <c r="P157" s="30"/>
      <c r="Q157" s="30"/>
      <c r="R157" s="30"/>
      <c r="S157" s="30"/>
      <c r="T157" s="30"/>
      <c r="U157" s="30"/>
      <c r="V157" s="30"/>
      <c r="W157" s="30"/>
      <c r="X157" s="30"/>
    </row>
    <row r="158" spans="4:24" x14ac:dyDescent="0.15">
      <c r="D158" s="932"/>
      <c r="E158" s="932"/>
      <c r="F158" s="932"/>
      <c r="G158" s="932"/>
      <c r="H158" s="932"/>
      <c r="I158" s="932"/>
      <c r="J158" s="932"/>
      <c r="O158" s="30"/>
      <c r="P158" s="30"/>
      <c r="Q158" s="30"/>
      <c r="R158" s="30"/>
      <c r="S158" s="30"/>
      <c r="T158" s="30"/>
      <c r="U158" s="30"/>
      <c r="V158" s="30"/>
      <c r="W158" s="30"/>
      <c r="X158" s="30"/>
    </row>
    <row r="159" spans="4:24" x14ac:dyDescent="0.15">
      <c r="D159" s="932"/>
      <c r="E159" s="932"/>
      <c r="F159" s="932"/>
      <c r="G159" s="932"/>
      <c r="H159" s="932"/>
      <c r="I159" s="932"/>
      <c r="J159" s="932"/>
      <c r="O159" s="30"/>
      <c r="P159" s="30"/>
      <c r="Q159" s="30"/>
      <c r="R159" s="30"/>
      <c r="S159" s="30"/>
      <c r="T159" s="30"/>
      <c r="U159" s="30"/>
      <c r="V159" s="30"/>
      <c r="W159" s="30"/>
      <c r="X159" s="30"/>
    </row>
    <row r="160" spans="4:24" x14ac:dyDescent="0.15">
      <c r="D160" s="932"/>
      <c r="E160" s="932"/>
      <c r="F160" s="932"/>
      <c r="G160" s="932"/>
      <c r="H160" s="932"/>
      <c r="I160" s="932"/>
      <c r="J160" s="932"/>
      <c r="O160" s="30"/>
      <c r="P160" s="30"/>
      <c r="Q160" s="30"/>
      <c r="R160" s="30"/>
      <c r="S160" s="30"/>
      <c r="T160" s="30"/>
      <c r="U160" s="30"/>
      <c r="V160" s="30"/>
      <c r="W160" s="30"/>
      <c r="X160" s="30"/>
    </row>
    <row r="161" spans="4:24" x14ac:dyDescent="0.15">
      <c r="D161" s="932"/>
      <c r="E161" s="932"/>
      <c r="F161" s="932"/>
      <c r="G161" s="932"/>
      <c r="H161" s="932"/>
      <c r="I161" s="932"/>
      <c r="J161" s="932"/>
      <c r="O161" s="30"/>
      <c r="P161" s="30"/>
      <c r="Q161" s="30"/>
      <c r="R161" s="30"/>
      <c r="S161" s="30"/>
      <c r="T161" s="30"/>
      <c r="U161" s="30"/>
      <c r="V161" s="30"/>
      <c r="W161" s="30"/>
      <c r="X161" s="30"/>
    </row>
    <row r="162" spans="4:24" x14ac:dyDescent="0.15">
      <c r="D162" s="932"/>
      <c r="E162" s="932"/>
      <c r="F162" s="932"/>
      <c r="G162" s="932"/>
      <c r="H162" s="932"/>
      <c r="I162" s="932"/>
      <c r="J162" s="932"/>
      <c r="O162" s="30"/>
      <c r="P162" s="30"/>
      <c r="Q162" s="30"/>
      <c r="R162" s="30"/>
      <c r="S162" s="30"/>
      <c r="T162" s="30"/>
      <c r="U162" s="30"/>
      <c r="V162" s="30"/>
      <c r="W162" s="30"/>
      <c r="X162" s="30"/>
    </row>
    <row r="163" spans="4:24" x14ac:dyDescent="0.15">
      <c r="D163" s="932"/>
      <c r="E163" s="932"/>
      <c r="F163" s="932"/>
      <c r="G163" s="932"/>
      <c r="H163" s="932"/>
      <c r="I163" s="932"/>
      <c r="J163" s="932"/>
      <c r="O163" s="30"/>
      <c r="P163" s="30"/>
      <c r="Q163" s="30"/>
      <c r="R163" s="30"/>
      <c r="S163" s="30"/>
      <c r="T163" s="30"/>
      <c r="U163" s="30"/>
      <c r="V163" s="30"/>
      <c r="W163" s="30"/>
      <c r="X163" s="30"/>
    </row>
    <row r="164" spans="4:24" x14ac:dyDescent="0.15">
      <c r="D164" s="932"/>
      <c r="E164" s="932"/>
      <c r="F164" s="932"/>
      <c r="G164" s="932"/>
      <c r="H164" s="932"/>
      <c r="I164" s="932"/>
      <c r="J164" s="932"/>
      <c r="O164" s="30"/>
      <c r="P164" s="30"/>
      <c r="Q164" s="30"/>
      <c r="R164" s="30"/>
      <c r="S164" s="30"/>
      <c r="T164" s="30"/>
      <c r="U164" s="30"/>
      <c r="V164" s="30"/>
      <c r="W164" s="30"/>
      <c r="X164" s="30"/>
    </row>
    <row r="165" spans="4:24" x14ac:dyDescent="0.15">
      <c r="D165" s="932"/>
      <c r="E165" s="932"/>
      <c r="F165" s="932"/>
      <c r="G165" s="932"/>
      <c r="H165" s="932"/>
      <c r="I165" s="932"/>
      <c r="J165" s="932"/>
      <c r="O165" s="30"/>
      <c r="P165" s="30"/>
      <c r="Q165" s="30"/>
      <c r="R165" s="30"/>
      <c r="S165" s="30"/>
      <c r="T165" s="30"/>
      <c r="U165" s="30"/>
      <c r="V165" s="30"/>
      <c r="W165" s="30"/>
      <c r="X165" s="30"/>
    </row>
    <row r="166" spans="4:24" x14ac:dyDescent="0.15">
      <c r="D166" s="932"/>
      <c r="E166" s="932"/>
      <c r="F166" s="932"/>
      <c r="G166" s="932"/>
      <c r="H166" s="932"/>
      <c r="I166" s="932"/>
      <c r="J166" s="932"/>
      <c r="O166" s="30"/>
      <c r="P166" s="30"/>
      <c r="Q166" s="30"/>
      <c r="R166" s="30"/>
      <c r="S166" s="30"/>
      <c r="T166" s="30"/>
      <c r="U166" s="30"/>
      <c r="V166" s="30"/>
      <c r="W166" s="30"/>
      <c r="X166" s="30"/>
    </row>
    <row r="167" spans="4:24" x14ac:dyDescent="0.15">
      <c r="D167" s="932"/>
      <c r="E167" s="932"/>
      <c r="F167" s="932"/>
      <c r="G167" s="932"/>
      <c r="H167" s="932"/>
      <c r="I167" s="932"/>
      <c r="J167" s="932"/>
      <c r="O167" s="30"/>
      <c r="P167" s="30"/>
      <c r="Q167" s="30"/>
      <c r="R167" s="30"/>
      <c r="S167" s="30"/>
      <c r="T167" s="30"/>
      <c r="U167" s="30"/>
      <c r="V167" s="30"/>
      <c r="W167" s="30"/>
      <c r="X167" s="30"/>
    </row>
    <row r="168" spans="4:24" x14ac:dyDescent="0.15">
      <c r="D168" s="932"/>
      <c r="E168" s="932"/>
      <c r="F168" s="932"/>
      <c r="G168" s="932"/>
      <c r="H168" s="932"/>
      <c r="I168" s="932"/>
      <c r="J168" s="932"/>
      <c r="O168" s="30"/>
      <c r="P168" s="30"/>
      <c r="Q168" s="30"/>
      <c r="R168" s="30"/>
      <c r="S168" s="30"/>
      <c r="T168" s="30"/>
      <c r="U168" s="30"/>
      <c r="V168" s="30"/>
      <c r="W168" s="30"/>
      <c r="X168" s="30"/>
    </row>
    <row r="169" spans="4:24" x14ac:dyDescent="0.15">
      <c r="D169" s="932"/>
      <c r="E169" s="932"/>
      <c r="F169" s="932"/>
      <c r="G169" s="932"/>
      <c r="H169" s="932"/>
      <c r="I169" s="932"/>
      <c r="J169" s="932"/>
      <c r="O169" s="30"/>
      <c r="P169" s="30"/>
      <c r="Q169" s="30"/>
      <c r="R169" s="30"/>
      <c r="S169" s="30"/>
      <c r="T169" s="30"/>
      <c r="U169" s="30"/>
      <c r="V169" s="30"/>
      <c r="W169" s="30"/>
      <c r="X169" s="30"/>
    </row>
    <row r="170" spans="4:24" x14ac:dyDescent="0.15">
      <c r="D170" s="932"/>
      <c r="E170" s="932"/>
      <c r="F170" s="932"/>
      <c r="G170" s="932"/>
      <c r="H170" s="932"/>
      <c r="I170" s="932"/>
      <c r="J170" s="932"/>
      <c r="O170" s="30"/>
      <c r="P170" s="30"/>
      <c r="Q170" s="30"/>
      <c r="R170" s="30"/>
      <c r="S170" s="30"/>
      <c r="T170" s="30"/>
      <c r="U170" s="30"/>
      <c r="V170" s="30"/>
      <c r="W170" s="30"/>
      <c r="X170" s="30"/>
    </row>
    <row r="171" spans="4:24" x14ac:dyDescent="0.15">
      <c r="D171" s="932"/>
      <c r="E171" s="932"/>
      <c r="F171" s="932"/>
      <c r="G171" s="932"/>
      <c r="H171" s="932"/>
      <c r="I171" s="932"/>
      <c r="J171" s="932"/>
      <c r="O171" s="30"/>
      <c r="P171" s="30"/>
      <c r="Q171" s="30"/>
      <c r="R171" s="30"/>
      <c r="S171" s="30"/>
      <c r="T171" s="30"/>
      <c r="U171" s="30"/>
      <c r="V171" s="30"/>
      <c r="W171" s="30"/>
      <c r="X171" s="30"/>
    </row>
    <row r="172" spans="4:24" x14ac:dyDescent="0.15">
      <c r="D172" s="932"/>
      <c r="E172" s="932"/>
      <c r="F172" s="932"/>
      <c r="G172" s="932"/>
      <c r="H172" s="932"/>
      <c r="I172" s="932"/>
      <c r="J172" s="932"/>
      <c r="O172" s="30"/>
      <c r="P172" s="30"/>
      <c r="Q172" s="30"/>
      <c r="R172" s="30"/>
      <c r="S172" s="30"/>
      <c r="T172" s="30"/>
      <c r="U172" s="30"/>
      <c r="V172" s="30"/>
      <c r="W172" s="30"/>
      <c r="X172" s="30"/>
    </row>
    <row r="173" spans="4:24" x14ac:dyDescent="0.15">
      <c r="D173" s="932"/>
      <c r="E173" s="932"/>
      <c r="F173" s="932"/>
      <c r="G173" s="932"/>
      <c r="H173" s="932"/>
      <c r="I173" s="932"/>
      <c r="J173" s="932"/>
      <c r="O173" s="30"/>
      <c r="P173" s="30"/>
      <c r="Q173" s="30"/>
      <c r="R173" s="30"/>
      <c r="S173" s="30"/>
      <c r="T173" s="30"/>
      <c r="U173" s="30"/>
      <c r="V173" s="30"/>
      <c r="W173" s="30"/>
      <c r="X173" s="30"/>
    </row>
    <row r="174" spans="4:24" x14ac:dyDescent="0.15">
      <c r="D174" s="932"/>
      <c r="E174" s="932"/>
      <c r="F174" s="932"/>
      <c r="G174" s="932"/>
      <c r="H174" s="932"/>
      <c r="I174" s="932"/>
      <c r="J174" s="932"/>
      <c r="O174" s="30"/>
      <c r="P174" s="30"/>
      <c r="Q174" s="30"/>
      <c r="R174" s="30"/>
      <c r="S174" s="30"/>
      <c r="T174" s="30"/>
      <c r="U174" s="30"/>
      <c r="V174" s="30"/>
      <c r="W174" s="30"/>
      <c r="X174" s="30"/>
    </row>
    <row r="175" spans="4:24" x14ac:dyDescent="0.15">
      <c r="D175" s="932"/>
      <c r="E175" s="932"/>
      <c r="F175" s="932"/>
      <c r="G175" s="932"/>
      <c r="H175" s="932"/>
      <c r="I175" s="932"/>
      <c r="J175" s="932"/>
      <c r="O175" s="30"/>
      <c r="P175" s="30"/>
      <c r="Q175" s="30"/>
      <c r="R175" s="30"/>
      <c r="S175" s="30"/>
      <c r="T175" s="30"/>
      <c r="U175" s="30"/>
      <c r="V175" s="30"/>
      <c r="W175" s="30"/>
      <c r="X175" s="30"/>
    </row>
    <row r="176" spans="4:24" x14ac:dyDescent="0.15">
      <c r="D176" s="932"/>
      <c r="E176" s="932"/>
      <c r="F176" s="932"/>
      <c r="G176" s="932"/>
      <c r="H176" s="932"/>
      <c r="I176" s="932"/>
      <c r="J176" s="932"/>
      <c r="O176" s="30"/>
      <c r="P176" s="30"/>
      <c r="Q176" s="30"/>
      <c r="R176" s="30"/>
      <c r="S176" s="30"/>
      <c r="T176" s="30"/>
      <c r="U176" s="30"/>
      <c r="V176" s="30"/>
      <c r="W176" s="30"/>
      <c r="X176" s="30"/>
    </row>
    <row r="177" spans="4:24" x14ac:dyDescent="0.15">
      <c r="D177" s="932"/>
      <c r="E177" s="932"/>
      <c r="F177" s="932"/>
      <c r="G177" s="932"/>
      <c r="H177" s="932"/>
      <c r="I177" s="932"/>
      <c r="J177" s="932"/>
      <c r="O177" s="30"/>
      <c r="P177" s="30"/>
      <c r="Q177" s="30"/>
      <c r="R177" s="30"/>
      <c r="S177" s="30"/>
      <c r="T177" s="30"/>
      <c r="U177" s="30"/>
      <c r="V177" s="30"/>
      <c r="W177" s="30"/>
      <c r="X177" s="30"/>
    </row>
    <row r="178" spans="4:24" x14ac:dyDescent="0.15">
      <c r="D178" s="932"/>
      <c r="E178" s="932"/>
      <c r="F178" s="932"/>
      <c r="G178" s="932"/>
      <c r="H178" s="932"/>
      <c r="I178" s="932"/>
      <c r="J178" s="932"/>
      <c r="O178" s="30"/>
      <c r="P178" s="30"/>
      <c r="Q178" s="30"/>
      <c r="R178" s="30"/>
      <c r="S178" s="30"/>
      <c r="T178" s="30"/>
      <c r="U178" s="30"/>
      <c r="V178" s="30"/>
      <c r="W178" s="30"/>
      <c r="X178" s="30"/>
    </row>
    <row r="179" spans="4:24" x14ac:dyDescent="0.15">
      <c r="D179" s="932"/>
      <c r="E179" s="932"/>
      <c r="F179" s="932"/>
      <c r="G179" s="932"/>
      <c r="H179" s="932"/>
      <c r="I179" s="932"/>
      <c r="J179" s="932"/>
      <c r="O179" s="30"/>
      <c r="P179" s="30"/>
      <c r="Q179" s="30"/>
      <c r="R179" s="30"/>
      <c r="S179" s="30"/>
      <c r="T179" s="30"/>
      <c r="U179" s="30"/>
      <c r="V179" s="30"/>
      <c r="W179" s="30"/>
      <c r="X179" s="30"/>
    </row>
    <row r="180" spans="4:24" x14ac:dyDescent="0.15">
      <c r="D180" s="932"/>
      <c r="E180" s="932"/>
      <c r="F180" s="932"/>
      <c r="G180" s="932"/>
      <c r="H180" s="932"/>
      <c r="I180" s="932"/>
      <c r="J180" s="932"/>
      <c r="O180" s="30"/>
      <c r="P180" s="30"/>
      <c r="Q180" s="30"/>
      <c r="R180" s="30"/>
      <c r="S180" s="30"/>
      <c r="T180" s="30"/>
      <c r="U180" s="30"/>
      <c r="V180" s="30"/>
      <c r="W180" s="30"/>
      <c r="X180" s="30"/>
    </row>
    <row r="181" spans="4:24" x14ac:dyDescent="0.15">
      <c r="D181" s="932"/>
      <c r="E181" s="932"/>
      <c r="F181" s="932"/>
      <c r="G181" s="932"/>
      <c r="H181" s="932"/>
      <c r="I181" s="932"/>
      <c r="J181" s="932"/>
      <c r="O181" s="30"/>
      <c r="P181" s="30"/>
      <c r="Q181" s="30"/>
      <c r="R181" s="30"/>
      <c r="S181" s="30"/>
      <c r="T181" s="30"/>
      <c r="U181" s="30"/>
      <c r="V181" s="30"/>
      <c r="W181" s="30"/>
      <c r="X181" s="30"/>
    </row>
    <row r="182" spans="4:24" x14ac:dyDescent="0.15">
      <c r="D182" s="932"/>
      <c r="E182" s="932"/>
      <c r="F182" s="932"/>
      <c r="G182" s="932"/>
      <c r="H182" s="932"/>
      <c r="I182" s="932"/>
      <c r="J182" s="932"/>
      <c r="O182" s="30"/>
      <c r="P182" s="30"/>
      <c r="Q182" s="30"/>
      <c r="R182" s="30"/>
      <c r="S182" s="30"/>
      <c r="T182" s="30"/>
      <c r="U182" s="30"/>
      <c r="V182" s="30"/>
      <c r="W182" s="30"/>
      <c r="X182" s="30"/>
    </row>
    <row r="183" spans="4:24" x14ac:dyDescent="0.15">
      <c r="D183" s="932"/>
      <c r="E183" s="932"/>
      <c r="F183" s="932"/>
      <c r="G183" s="932"/>
      <c r="H183" s="932"/>
      <c r="I183" s="932"/>
      <c r="J183" s="932"/>
      <c r="O183" s="30"/>
      <c r="P183" s="30"/>
      <c r="Q183" s="30"/>
      <c r="R183" s="30"/>
      <c r="S183" s="30"/>
      <c r="T183" s="30"/>
      <c r="U183" s="30"/>
      <c r="V183" s="30"/>
      <c r="W183" s="30"/>
      <c r="X183" s="30"/>
    </row>
    <row r="184" spans="4:24" x14ac:dyDescent="0.15">
      <c r="D184" s="932"/>
      <c r="E184" s="932"/>
      <c r="F184" s="932"/>
      <c r="G184" s="932"/>
      <c r="H184" s="932"/>
      <c r="I184" s="932"/>
      <c r="J184" s="932"/>
      <c r="O184" s="30"/>
      <c r="P184" s="30"/>
      <c r="Q184" s="30"/>
      <c r="R184" s="30"/>
      <c r="S184" s="30"/>
      <c r="T184" s="30"/>
      <c r="U184" s="30"/>
      <c r="V184" s="30"/>
      <c r="W184" s="30"/>
      <c r="X184" s="30"/>
    </row>
    <row r="185" spans="4:24" x14ac:dyDescent="0.15">
      <c r="D185" s="932"/>
      <c r="E185" s="932"/>
      <c r="F185" s="932"/>
      <c r="G185" s="932"/>
      <c r="H185" s="932"/>
      <c r="I185" s="932"/>
      <c r="J185" s="932"/>
    </row>
    <row r="186" spans="4:24" x14ac:dyDescent="0.15">
      <c r="D186" s="932"/>
      <c r="E186" s="932"/>
      <c r="F186" s="932"/>
      <c r="G186" s="932"/>
      <c r="H186" s="932"/>
      <c r="I186" s="932"/>
      <c r="J186" s="932"/>
    </row>
    <row r="187" spans="4:24" x14ac:dyDescent="0.15">
      <c r="D187" s="932"/>
      <c r="E187" s="932"/>
      <c r="F187" s="932"/>
      <c r="G187" s="932"/>
      <c r="H187" s="932"/>
      <c r="I187" s="932"/>
      <c r="J187" s="932"/>
    </row>
    <row r="188" spans="4:24" x14ac:dyDescent="0.15">
      <c r="D188" s="932"/>
      <c r="E188" s="932"/>
      <c r="F188" s="932"/>
      <c r="G188" s="932"/>
      <c r="H188" s="932"/>
      <c r="I188" s="932"/>
      <c r="J188" s="932"/>
    </row>
    <row r="189" spans="4:24" x14ac:dyDescent="0.15">
      <c r="D189" s="932"/>
      <c r="E189" s="932"/>
      <c r="F189" s="932"/>
      <c r="G189" s="932"/>
      <c r="H189" s="932"/>
      <c r="I189" s="932"/>
      <c r="J189" s="932"/>
    </row>
    <row r="190" spans="4:24" x14ac:dyDescent="0.15">
      <c r="D190" s="932"/>
      <c r="E190" s="932"/>
      <c r="F190" s="932"/>
      <c r="G190" s="932"/>
      <c r="H190" s="932"/>
      <c r="I190" s="932"/>
      <c r="J190" s="932"/>
    </row>
    <row r="191" spans="4:24" x14ac:dyDescent="0.15">
      <c r="D191" s="932"/>
      <c r="E191" s="932"/>
      <c r="F191" s="932"/>
      <c r="G191" s="932"/>
      <c r="H191" s="932"/>
      <c r="I191" s="932"/>
      <c r="J191" s="932"/>
    </row>
    <row r="192" spans="4:24" x14ac:dyDescent="0.15">
      <c r="D192" s="932"/>
      <c r="E192" s="932"/>
      <c r="F192" s="932"/>
      <c r="G192" s="932"/>
      <c r="H192" s="932"/>
      <c r="I192" s="932"/>
      <c r="J192" s="932"/>
    </row>
    <row r="193" spans="4:10" x14ac:dyDescent="0.15">
      <c r="D193" s="932"/>
      <c r="E193" s="932"/>
      <c r="F193" s="932"/>
      <c r="G193" s="932"/>
      <c r="H193" s="932"/>
      <c r="I193" s="932"/>
      <c r="J193" s="932"/>
    </row>
    <row r="194" spans="4:10" x14ac:dyDescent="0.15">
      <c r="D194" s="932"/>
      <c r="E194" s="932"/>
      <c r="F194" s="932"/>
      <c r="G194" s="932"/>
      <c r="H194" s="932"/>
      <c r="I194" s="932"/>
      <c r="J194" s="932"/>
    </row>
    <row r="195" spans="4:10" x14ac:dyDescent="0.15">
      <c r="D195" s="932"/>
      <c r="E195" s="932"/>
      <c r="F195" s="932"/>
      <c r="G195" s="932"/>
      <c r="H195" s="932"/>
      <c r="I195" s="932"/>
      <c r="J195" s="932"/>
    </row>
    <row r="196" spans="4:10" x14ac:dyDescent="0.15">
      <c r="D196" s="932"/>
      <c r="E196" s="932"/>
      <c r="F196" s="932"/>
      <c r="G196" s="932"/>
      <c r="H196" s="932"/>
      <c r="I196" s="932"/>
      <c r="J196" s="932"/>
    </row>
    <row r="197" spans="4:10" x14ac:dyDescent="0.15">
      <c r="D197" s="932"/>
      <c r="E197" s="932"/>
      <c r="F197" s="932"/>
      <c r="G197" s="932"/>
      <c r="H197" s="932"/>
      <c r="I197" s="932"/>
      <c r="J197" s="932"/>
    </row>
    <row r="198" spans="4:10" x14ac:dyDescent="0.15">
      <c r="D198" s="932"/>
      <c r="E198" s="932"/>
      <c r="F198" s="932"/>
      <c r="G198" s="932"/>
      <c r="H198" s="932"/>
      <c r="I198" s="932"/>
      <c r="J198" s="932"/>
    </row>
    <row r="199" spans="4:10" x14ac:dyDescent="0.15">
      <c r="D199" s="932"/>
      <c r="E199" s="932"/>
      <c r="F199" s="932"/>
      <c r="G199" s="932"/>
      <c r="H199" s="932"/>
      <c r="I199" s="932"/>
      <c r="J199" s="932"/>
    </row>
    <row r="200" spans="4:10" x14ac:dyDescent="0.15">
      <c r="D200" s="932"/>
      <c r="E200" s="932"/>
      <c r="F200" s="932"/>
      <c r="G200" s="932"/>
      <c r="H200" s="932"/>
      <c r="I200" s="932"/>
      <c r="J200" s="932"/>
    </row>
    <row r="201" spans="4:10" x14ac:dyDescent="0.15">
      <c r="D201" s="932"/>
      <c r="E201" s="932"/>
      <c r="F201" s="932"/>
      <c r="G201" s="932"/>
      <c r="H201" s="932"/>
      <c r="I201" s="932"/>
      <c r="J201" s="932"/>
    </row>
    <row r="202" spans="4:10" x14ac:dyDescent="0.15">
      <c r="D202" s="932"/>
      <c r="E202" s="932"/>
      <c r="F202" s="932"/>
      <c r="G202" s="932"/>
      <c r="H202" s="932"/>
      <c r="I202" s="932"/>
      <c r="J202" s="932"/>
    </row>
    <row r="203" spans="4:10" x14ac:dyDescent="0.15">
      <c r="D203" s="932"/>
      <c r="E203" s="932"/>
      <c r="F203" s="932"/>
      <c r="G203" s="932"/>
      <c r="H203" s="932"/>
      <c r="I203" s="932"/>
      <c r="J203" s="932"/>
    </row>
    <row r="204" spans="4:10" x14ac:dyDescent="0.15">
      <c r="D204" s="932"/>
      <c r="E204" s="932"/>
      <c r="F204" s="932"/>
      <c r="G204" s="932"/>
      <c r="H204" s="932"/>
      <c r="I204" s="932"/>
      <c r="J204" s="932"/>
    </row>
    <row r="205" spans="4:10" x14ac:dyDescent="0.15">
      <c r="D205" s="932"/>
      <c r="E205" s="932"/>
      <c r="F205" s="932"/>
      <c r="G205" s="932"/>
      <c r="H205" s="932"/>
      <c r="I205" s="932"/>
      <c r="J205" s="932"/>
    </row>
    <row r="206" spans="4:10" x14ac:dyDescent="0.15">
      <c r="D206" s="932"/>
      <c r="E206" s="932"/>
      <c r="F206" s="932"/>
      <c r="G206" s="932"/>
      <c r="H206" s="932"/>
      <c r="I206" s="932"/>
      <c r="J206" s="932"/>
    </row>
    <row r="207" spans="4:10" x14ac:dyDescent="0.15">
      <c r="D207" s="932"/>
      <c r="E207" s="932"/>
      <c r="F207" s="932"/>
      <c r="G207" s="932"/>
      <c r="H207" s="932"/>
      <c r="I207" s="932"/>
      <c r="J207" s="932"/>
    </row>
    <row r="208" spans="4:10" x14ac:dyDescent="0.15">
      <c r="D208" s="932"/>
      <c r="E208" s="932"/>
      <c r="F208" s="932"/>
      <c r="G208" s="932"/>
      <c r="H208" s="932"/>
      <c r="I208" s="932"/>
      <c r="J208" s="932"/>
    </row>
    <row r="209" spans="4:10" x14ac:dyDescent="0.15">
      <c r="D209" s="932"/>
      <c r="E209" s="932"/>
      <c r="F209" s="932"/>
      <c r="G209" s="932"/>
      <c r="H209" s="932"/>
      <c r="I209" s="932"/>
      <c r="J209" s="932"/>
    </row>
    <row r="210" spans="4:10" x14ac:dyDescent="0.15">
      <c r="D210" s="932"/>
      <c r="E210" s="932"/>
      <c r="F210" s="932"/>
      <c r="G210" s="932"/>
      <c r="H210" s="932"/>
      <c r="I210" s="932"/>
      <c r="J210" s="932"/>
    </row>
    <row r="211" spans="4:10" x14ac:dyDescent="0.15">
      <c r="D211" s="932"/>
      <c r="E211" s="932"/>
      <c r="F211" s="932"/>
      <c r="G211" s="932"/>
      <c r="H211" s="932"/>
      <c r="I211" s="932"/>
      <c r="J211" s="932"/>
    </row>
    <row r="212" spans="4:10" x14ac:dyDescent="0.15">
      <c r="D212" s="932"/>
      <c r="E212" s="932"/>
      <c r="F212" s="932"/>
      <c r="G212" s="932"/>
      <c r="H212" s="932"/>
      <c r="I212" s="932"/>
      <c r="J212" s="932"/>
    </row>
    <row r="213" spans="4:10" x14ac:dyDescent="0.15">
      <c r="D213" s="932"/>
      <c r="E213" s="932"/>
      <c r="F213" s="932"/>
      <c r="G213" s="932"/>
      <c r="H213" s="932"/>
      <c r="I213" s="932"/>
      <c r="J213" s="932"/>
    </row>
    <row r="214" spans="4:10" x14ac:dyDescent="0.15">
      <c r="D214" s="932"/>
      <c r="E214" s="932"/>
      <c r="F214" s="932"/>
      <c r="G214" s="932"/>
      <c r="H214" s="932"/>
      <c r="I214" s="932"/>
      <c r="J214" s="932"/>
    </row>
    <row r="215" spans="4:10" x14ac:dyDescent="0.15">
      <c r="D215" s="932"/>
      <c r="E215" s="932"/>
      <c r="F215" s="932"/>
      <c r="G215" s="932"/>
      <c r="H215" s="932"/>
      <c r="I215" s="932"/>
      <c r="J215" s="932"/>
    </row>
    <row r="216" spans="4:10" x14ac:dyDescent="0.15">
      <c r="D216" s="932"/>
      <c r="E216" s="932"/>
      <c r="F216" s="932"/>
      <c r="G216" s="932"/>
      <c r="H216" s="932"/>
      <c r="I216" s="932"/>
      <c r="J216" s="932"/>
    </row>
    <row r="217" spans="4:10" x14ac:dyDescent="0.15">
      <c r="D217" s="932"/>
      <c r="E217" s="932"/>
      <c r="F217" s="932"/>
      <c r="G217" s="932"/>
      <c r="H217" s="932"/>
      <c r="I217" s="932"/>
      <c r="J217" s="932"/>
    </row>
    <row r="218" spans="4:10" x14ac:dyDescent="0.15">
      <c r="D218" s="932"/>
      <c r="E218" s="932"/>
      <c r="F218" s="932"/>
      <c r="G218" s="932"/>
      <c r="H218" s="932"/>
      <c r="I218" s="932"/>
      <c r="J218" s="932"/>
    </row>
    <row r="219" spans="4:10" x14ac:dyDescent="0.15">
      <c r="D219" s="932"/>
      <c r="E219" s="932"/>
      <c r="F219" s="932"/>
      <c r="G219" s="932"/>
      <c r="H219" s="932"/>
      <c r="I219" s="932"/>
      <c r="J219" s="932"/>
    </row>
    <row r="220" spans="4:10" x14ac:dyDescent="0.15">
      <c r="D220" s="932"/>
      <c r="E220" s="932"/>
      <c r="F220" s="932"/>
      <c r="G220" s="932"/>
      <c r="H220" s="932"/>
      <c r="I220" s="932"/>
      <c r="J220" s="932"/>
    </row>
    <row r="221" spans="4:10" x14ac:dyDescent="0.15">
      <c r="D221" s="932"/>
      <c r="E221" s="932"/>
      <c r="F221" s="932"/>
      <c r="G221" s="932"/>
      <c r="H221" s="932"/>
      <c r="I221" s="932"/>
      <c r="J221" s="932"/>
    </row>
    <row r="222" spans="4:10" x14ac:dyDescent="0.15">
      <c r="D222" s="932"/>
      <c r="E222" s="932"/>
      <c r="F222" s="932"/>
      <c r="G222" s="932"/>
      <c r="H222" s="932"/>
      <c r="I222" s="932"/>
      <c r="J222" s="932"/>
    </row>
    <row r="223" spans="4:10" x14ac:dyDescent="0.15">
      <c r="D223" s="932"/>
      <c r="E223" s="932"/>
      <c r="F223" s="932"/>
      <c r="G223" s="932"/>
      <c r="H223" s="932"/>
      <c r="I223" s="932"/>
      <c r="J223" s="932"/>
    </row>
    <row r="224" spans="4:10" x14ac:dyDescent="0.15">
      <c r="D224" s="932"/>
      <c r="E224" s="932"/>
      <c r="F224" s="932"/>
      <c r="G224" s="932"/>
      <c r="H224" s="932"/>
      <c r="I224" s="932"/>
      <c r="J224" s="932"/>
    </row>
    <row r="225" spans="4:10" x14ac:dyDescent="0.15">
      <c r="D225" s="932"/>
      <c r="E225" s="932"/>
      <c r="F225" s="932"/>
      <c r="G225" s="932"/>
      <c r="H225" s="932"/>
      <c r="I225" s="932"/>
      <c r="J225" s="932"/>
    </row>
    <row r="226" spans="4:10" x14ac:dyDescent="0.15">
      <c r="D226" s="932"/>
      <c r="E226" s="932"/>
      <c r="F226" s="932"/>
      <c r="G226" s="932"/>
      <c r="H226" s="932"/>
      <c r="I226" s="932"/>
      <c r="J226" s="932"/>
    </row>
    <row r="227" spans="4:10" x14ac:dyDescent="0.15">
      <c r="D227" s="932"/>
      <c r="E227" s="932"/>
      <c r="F227" s="932"/>
      <c r="G227" s="932"/>
      <c r="H227" s="932"/>
      <c r="I227" s="932"/>
      <c r="J227" s="932"/>
    </row>
    <row r="228" spans="4:10" x14ac:dyDescent="0.15">
      <c r="D228" s="932"/>
      <c r="E228" s="932"/>
      <c r="F228" s="932"/>
      <c r="G228" s="932"/>
      <c r="H228" s="932"/>
      <c r="I228" s="932"/>
      <c r="J228" s="932"/>
    </row>
    <row r="229" spans="4:10" x14ac:dyDescent="0.15">
      <c r="D229" s="932"/>
      <c r="E229" s="932"/>
      <c r="F229" s="932"/>
      <c r="G229" s="932"/>
      <c r="H229" s="932"/>
      <c r="I229" s="932"/>
      <c r="J229" s="932"/>
    </row>
    <row r="230" spans="4:10" x14ac:dyDescent="0.15">
      <c r="D230" s="932"/>
      <c r="E230" s="932"/>
      <c r="F230" s="932"/>
      <c r="G230" s="932"/>
      <c r="H230" s="932"/>
      <c r="I230" s="932"/>
      <c r="J230" s="932"/>
    </row>
    <row r="231" spans="4:10" x14ac:dyDescent="0.15">
      <c r="D231" s="932"/>
      <c r="E231" s="932"/>
      <c r="F231" s="932"/>
      <c r="G231" s="932"/>
      <c r="H231" s="932"/>
      <c r="I231" s="932"/>
      <c r="J231" s="932"/>
    </row>
    <row r="232" spans="4:10" x14ac:dyDescent="0.15">
      <c r="D232" s="932"/>
      <c r="E232" s="932"/>
      <c r="F232" s="932"/>
      <c r="G232" s="932"/>
      <c r="H232" s="932"/>
      <c r="I232" s="932"/>
      <c r="J232" s="932"/>
    </row>
    <row r="233" spans="4:10" x14ac:dyDescent="0.15">
      <c r="D233" s="932"/>
      <c r="E233" s="932"/>
      <c r="F233" s="932"/>
      <c r="G233" s="932"/>
      <c r="H233" s="932"/>
      <c r="I233" s="932"/>
      <c r="J233" s="932"/>
    </row>
    <row r="234" spans="4:10" x14ac:dyDescent="0.15">
      <c r="D234" s="932"/>
      <c r="E234" s="932"/>
      <c r="F234" s="932"/>
      <c r="G234" s="932"/>
      <c r="H234" s="932"/>
      <c r="I234" s="932"/>
      <c r="J234" s="932"/>
    </row>
    <row r="235" spans="4:10" x14ac:dyDescent="0.15">
      <c r="D235" s="932"/>
      <c r="E235" s="932"/>
      <c r="F235" s="932"/>
      <c r="G235" s="932"/>
      <c r="H235" s="932"/>
      <c r="I235" s="932"/>
      <c r="J235" s="932"/>
    </row>
    <row r="236" spans="4:10" x14ac:dyDescent="0.15">
      <c r="D236" s="932"/>
      <c r="E236" s="932"/>
      <c r="F236" s="932"/>
      <c r="G236" s="932"/>
      <c r="H236" s="932"/>
      <c r="I236" s="932"/>
      <c r="J236" s="932"/>
    </row>
    <row r="237" spans="4:10" x14ac:dyDescent="0.15">
      <c r="D237" s="932"/>
      <c r="E237" s="932"/>
      <c r="F237" s="932"/>
      <c r="G237" s="932"/>
      <c r="H237" s="932"/>
      <c r="I237" s="932"/>
      <c r="J237" s="932"/>
    </row>
    <row r="238" spans="4:10" x14ac:dyDescent="0.15">
      <c r="D238" s="932"/>
      <c r="E238" s="932"/>
      <c r="F238" s="932"/>
      <c r="G238" s="932"/>
      <c r="H238" s="932"/>
      <c r="I238" s="932"/>
      <c r="J238" s="932"/>
    </row>
    <row r="239" spans="4:10" x14ac:dyDescent="0.15">
      <c r="D239" s="932"/>
      <c r="E239" s="932"/>
      <c r="F239" s="932"/>
      <c r="G239" s="932"/>
      <c r="H239" s="932"/>
      <c r="I239" s="932"/>
      <c r="J239" s="932"/>
    </row>
    <row r="240" spans="4:10" x14ac:dyDescent="0.15">
      <c r="D240" s="932"/>
      <c r="E240" s="932"/>
      <c r="F240" s="932"/>
      <c r="G240" s="932"/>
      <c r="H240" s="932"/>
      <c r="I240" s="932"/>
      <c r="J240" s="932"/>
    </row>
    <row r="241" spans="4:10" x14ac:dyDescent="0.15">
      <c r="D241" s="932"/>
      <c r="E241" s="932"/>
      <c r="F241" s="932"/>
      <c r="G241" s="932"/>
      <c r="H241" s="932"/>
      <c r="I241" s="932"/>
      <c r="J241" s="932"/>
    </row>
    <row r="242" spans="4:10" x14ac:dyDescent="0.15">
      <c r="D242" s="932"/>
      <c r="E242" s="932"/>
      <c r="F242" s="932"/>
      <c r="G242" s="932"/>
      <c r="H242" s="932"/>
      <c r="I242" s="932"/>
      <c r="J242" s="932"/>
    </row>
    <row r="243" spans="4:10" x14ac:dyDescent="0.15">
      <c r="D243" s="932"/>
      <c r="E243" s="932"/>
      <c r="F243" s="932"/>
      <c r="G243" s="932"/>
      <c r="H243" s="932"/>
      <c r="I243" s="932"/>
      <c r="J243" s="932"/>
    </row>
    <row r="244" spans="4:10" x14ac:dyDescent="0.15">
      <c r="D244" s="932"/>
      <c r="E244" s="932"/>
      <c r="F244" s="932"/>
      <c r="G244" s="932"/>
      <c r="H244" s="932"/>
      <c r="I244" s="932"/>
      <c r="J244" s="932"/>
    </row>
    <row r="245" spans="4:10" x14ac:dyDescent="0.15">
      <c r="D245" s="932"/>
      <c r="E245" s="932"/>
      <c r="F245" s="932"/>
      <c r="G245" s="932"/>
      <c r="H245" s="932"/>
      <c r="I245" s="932"/>
      <c r="J245" s="932"/>
    </row>
    <row r="246" spans="4:10" x14ac:dyDescent="0.15">
      <c r="D246" s="932"/>
      <c r="E246" s="932"/>
      <c r="F246" s="932"/>
      <c r="G246" s="932"/>
      <c r="H246" s="932"/>
      <c r="I246" s="932"/>
      <c r="J246" s="932"/>
    </row>
    <row r="247" spans="4:10" x14ac:dyDescent="0.15">
      <c r="D247" s="932"/>
      <c r="E247" s="932"/>
      <c r="F247" s="932"/>
      <c r="G247" s="932"/>
      <c r="H247" s="932"/>
      <c r="I247" s="932"/>
      <c r="J247" s="932"/>
    </row>
    <row r="248" spans="4:10" x14ac:dyDescent="0.15">
      <c r="D248" s="932"/>
      <c r="E248" s="932"/>
      <c r="F248" s="932"/>
      <c r="G248" s="932"/>
      <c r="H248" s="932"/>
      <c r="I248" s="932"/>
      <c r="J248" s="932"/>
    </row>
    <row r="249" spans="4:10" x14ac:dyDescent="0.15">
      <c r="D249" s="932"/>
      <c r="E249" s="932"/>
      <c r="F249" s="932"/>
      <c r="G249" s="932"/>
      <c r="H249" s="932"/>
      <c r="I249" s="932"/>
      <c r="J249" s="932"/>
    </row>
    <row r="250" spans="4:10" x14ac:dyDescent="0.15">
      <c r="D250" s="932"/>
      <c r="E250" s="932"/>
      <c r="F250" s="932"/>
      <c r="G250" s="932"/>
      <c r="H250" s="932"/>
      <c r="I250" s="932"/>
      <c r="J250" s="932"/>
    </row>
    <row r="251" spans="4:10" x14ac:dyDescent="0.15">
      <c r="D251" s="932"/>
      <c r="E251" s="932"/>
      <c r="F251" s="932"/>
      <c r="G251" s="932"/>
      <c r="H251" s="932"/>
      <c r="I251" s="932"/>
      <c r="J251" s="932"/>
    </row>
    <row r="252" spans="4:10" x14ac:dyDescent="0.15">
      <c r="D252" s="932"/>
      <c r="E252" s="932"/>
      <c r="F252" s="932"/>
      <c r="G252" s="932"/>
      <c r="H252" s="932"/>
      <c r="I252" s="932"/>
      <c r="J252" s="932"/>
    </row>
    <row r="253" spans="4:10" x14ac:dyDescent="0.15">
      <c r="D253" s="932"/>
      <c r="E253" s="932"/>
      <c r="F253" s="932"/>
      <c r="G253" s="932"/>
      <c r="H253" s="932"/>
      <c r="I253" s="932"/>
      <c r="J253" s="932"/>
    </row>
    <row r="254" spans="4:10" x14ac:dyDescent="0.15">
      <c r="D254" s="932"/>
      <c r="E254" s="932"/>
      <c r="F254" s="932"/>
      <c r="G254" s="932"/>
      <c r="H254" s="932"/>
      <c r="I254" s="932"/>
      <c r="J254" s="932"/>
    </row>
    <row r="255" spans="4:10" x14ac:dyDescent="0.15">
      <c r="D255" s="932"/>
      <c r="E255" s="932"/>
      <c r="F255" s="932"/>
      <c r="G255" s="932"/>
      <c r="H255" s="932"/>
      <c r="I255" s="932"/>
      <c r="J255" s="932"/>
    </row>
    <row r="256" spans="4:10" x14ac:dyDescent="0.15">
      <c r="D256" s="932"/>
      <c r="E256" s="932"/>
      <c r="F256" s="932"/>
      <c r="G256" s="932"/>
      <c r="H256" s="932"/>
      <c r="I256" s="932"/>
      <c r="J256" s="932"/>
    </row>
    <row r="257" spans="4:10" x14ac:dyDescent="0.15">
      <c r="D257" s="932"/>
      <c r="E257" s="932"/>
      <c r="F257" s="932"/>
      <c r="G257" s="932"/>
      <c r="H257" s="932"/>
      <c r="I257" s="932"/>
      <c r="J257" s="932"/>
    </row>
    <row r="258" spans="4:10" x14ac:dyDescent="0.15">
      <c r="D258" s="932"/>
      <c r="E258" s="932"/>
      <c r="F258" s="932"/>
      <c r="G258" s="932"/>
      <c r="H258" s="932"/>
      <c r="I258" s="932"/>
      <c r="J258" s="932"/>
    </row>
    <row r="259" spans="4:10" x14ac:dyDescent="0.15">
      <c r="D259" s="932"/>
      <c r="E259" s="932"/>
      <c r="F259" s="932"/>
      <c r="G259" s="932"/>
      <c r="H259" s="932"/>
      <c r="I259" s="932"/>
      <c r="J259" s="932"/>
    </row>
    <row r="260" spans="4:10" x14ac:dyDescent="0.15">
      <c r="D260" s="932"/>
      <c r="E260" s="932"/>
      <c r="F260" s="932"/>
      <c r="G260" s="932"/>
      <c r="H260" s="932"/>
      <c r="I260" s="932"/>
      <c r="J260" s="932"/>
    </row>
    <row r="261" spans="4:10" x14ac:dyDescent="0.15">
      <c r="D261" s="932"/>
      <c r="E261" s="932"/>
      <c r="F261" s="932"/>
      <c r="G261" s="932"/>
      <c r="H261" s="932"/>
      <c r="I261" s="932"/>
      <c r="J261" s="932"/>
    </row>
    <row r="262" spans="4:10" x14ac:dyDescent="0.15">
      <c r="D262" s="932"/>
      <c r="E262" s="932"/>
      <c r="F262" s="932"/>
      <c r="G262" s="932"/>
      <c r="H262" s="932"/>
      <c r="I262" s="932"/>
      <c r="J262" s="932"/>
    </row>
    <row r="263" spans="4:10" x14ac:dyDescent="0.15">
      <c r="D263" s="932"/>
      <c r="E263" s="932"/>
      <c r="F263" s="932"/>
      <c r="G263" s="932"/>
      <c r="H263" s="932"/>
      <c r="I263" s="932"/>
      <c r="J263" s="932"/>
    </row>
    <row r="264" spans="4:10" x14ac:dyDescent="0.15">
      <c r="D264" s="932"/>
      <c r="E264" s="932"/>
      <c r="F264" s="932"/>
      <c r="G264" s="932"/>
      <c r="H264" s="932"/>
      <c r="I264" s="932"/>
      <c r="J264" s="932"/>
    </row>
    <row r="265" spans="4:10" x14ac:dyDescent="0.15">
      <c r="D265" s="932"/>
      <c r="E265" s="932"/>
      <c r="F265" s="932"/>
      <c r="G265" s="932"/>
      <c r="H265" s="932"/>
      <c r="I265" s="932"/>
      <c r="J265" s="932"/>
    </row>
    <row r="266" spans="4:10" x14ac:dyDescent="0.15">
      <c r="D266" s="932"/>
      <c r="E266" s="932"/>
      <c r="F266" s="932"/>
      <c r="G266" s="932"/>
      <c r="H266" s="932"/>
      <c r="I266" s="932"/>
      <c r="J266" s="932"/>
    </row>
    <row r="267" spans="4:10" x14ac:dyDescent="0.15">
      <c r="D267" s="932"/>
      <c r="E267" s="932"/>
      <c r="F267" s="932"/>
      <c r="G267" s="932"/>
      <c r="H267" s="932"/>
      <c r="I267" s="932"/>
      <c r="J267" s="932"/>
    </row>
    <row r="268" spans="4:10" x14ac:dyDescent="0.15">
      <c r="D268" s="932"/>
      <c r="E268" s="932"/>
      <c r="F268" s="932"/>
      <c r="G268" s="932"/>
      <c r="H268" s="932"/>
      <c r="I268" s="932"/>
      <c r="J268" s="932"/>
    </row>
    <row r="269" spans="4:10" x14ac:dyDescent="0.15">
      <c r="D269" s="932"/>
      <c r="E269" s="932"/>
      <c r="F269" s="932"/>
      <c r="G269" s="932"/>
      <c r="H269" s="932"/>
      <c r="I269" s="932"/>
      <c r="J269" s="932"/>
    </row>
    <row r="270" spans="4:10" x14ac:dyDescent="0.15">
      <c r="D270" s="932"/>
      <c r="E270" s="932"/>
      <c r="F270" s="932"/>
      <c r="G270" s="932"/>
      <c r="H270" s="932"/>
      <c r="I270" s="932"/>
      <c r="J270" s="932"/>
    </row>
    <row r="271" spans="4:10" x14ac:dyDescent="0.15">
      <c r="D271" s="932"/>
      <c r="E271" s="932"/>
      <c r="F271" s="932"/>
      <c r="G271" s="932"/>
      <c r="H271" s="932"/>
      <c r="I271" s="932"/>
      <c r="J271" s="932"/>
    </row>
    <row r="272" spans="4:10" x14ac:dyDescent="0.15">
      <c r="D272" s="932"/>
      <c r="E272" s="932"/>
      <c r="F272" s="932"/>
      <c r="G272" s="932"/>
      <c r="H272" s="932"/>
      <c r="I272" s="932"/>
      <c r="J272" s="932"/>
    </row>
    <row r="273" spans="4:10" x14ac:dyDescent="0.15">
      <c r="D273" s="932"/>
      <c r="E273" s="932"/>
      <c r="F273" s="932"/>
      <c r="G273" s="932"/>
      <c r="H273" s="932"/>
      <c r="I273" s="932"/>
      <c r="J273" s="932"/>
    </row>
    <row r="274" spans="4:10" x14ac:dyDescent="0.15">
      <c r="D274" s="932"/>
      <c r="E274" s="932"/>
      <c r="F274" s="932"/>
      <c r="G274" s="932"/>
      <c r="H274" s="932"/>
      <c r="I274" s="932"/>
      <c r="J274" s="932"/>
    </row>
    <row r="275" spans="4:10" x14ac:dyDescent="0.15">
      <c r="D275" s="932"/>
      <c r="E275" s="932"/>
      <c r="F275" s="932"/>
      <c r="G275" s="932"/>
      <c r="H275" s="932"/>
      <c r="I275" s="932"/>
      <c r="J275" s="932"/>
    </row>
    <row r="276" spans="4:10" x14ac:dyDescent="0.15">
      <c r="D276" s="932"/>
      <c r="E276" s="932"/>
      <c r="F276" s="932"/>
      <c r="G276" s="932"/>
      <c r="H276" s="932"/>
      <c r="I276" s="932"/>
      <c r="J276" s="932"/>
    </row>
    <row r="277" spans="4:10" x14ac:dyDescent="0.15">
      <c r="D277" s="932"/>
      <c r="E277" s="932"/>
      <c r="F277" s="932"/>
      <c r="G277" s="932"/>
      <c r="H277" s="932"/>
      <c r="I277" s="932"/>
      <c r="J277" s="932"/>
    </row>
    <row r="278" spans="4:10" x14ac:dyDescent="0.15">
      <c r="D278" s="932"/>
      <c r="E278" s="932"/>
      <c r="F278" s="932"/>
      <c r="G278" s="932"/>
      <c r="H278" s="932"/>
      <c r="I278" s="932"/>
      <c r="J278" s="932"/>
    </row>
    <row r="279" spans="4:10" x14ac:dyDescent="0.15">
      <c r="D279" s="932"/>
      <c r="E279" s="932"/>
      <c r="F279" s="932"/>
      <c r="G279" s="932"/>
      <c r="H279" s="932"/>
      <c r="I279" s="932"/>
      <c r="J279" s="932"/>
    </row>
    <row r="280" spans="4:10" x14ac:dyDescent="0.15">
      <c r="D280" s="932"/>
      <c r="E280" s="932"/>
      <c r="F280" s="932"/>
      <c r="G280" s="932"/>
      <c r="H280" s="932"/>
      <c r="I280" s="932"/>
      <c r="J280" s="932"/>
    </row>
    <row r="281" spans="4:10" x14ac:dyDescent="0.15">
      <c r="D281" s="932"/>
      <c r="E281" s="932"/>
      <c r="F281" s="932"/>
      <c r="G281" s="932"/>
      <c r="H281" s="932"/>
      <c r="I281" s="932"/>
      <c r="J281" s="932"/>
    </row>
    <row r="282" spans="4:10" x14ac:dyDescent="0.15">
      <c r="D282" s="932"/>
      <c r="E282" s="932"/>
      <c r="F282" s="932"/>
      <c r="G282" s="932"/>
      <c r="H282" s="932"/>
      <c r="I282" s="932"/>
      <c r="J282" s="932"/>
    </row>
    <row r="283" spans="4:10" x14ac:dyDescent="0.15">
      <c r="D283" s="932"/>
      <c r="E283" s="932"/>
      <c r="F283" s="932"/>
      <c r="G283" s="932"/>
      <c r="H283" s="932"/>
      <c r="I283" s="932"/>
      <c r="J283" s="932"/>
    </row>
    <row r="284" spans="4:10" x14ac:dyDescent="0.15">
      <c r="D284" s="932"/>
      <c r="E284" s="932"/>
      <c r="F284" s="932"/>
      <c r="G284" s="932"/>
      <c r="H284" s="932"/>
      <c r="I284" s="932"/>
      <c r="J284" s="932"/>
    </row>
    <row r="285" spans="4:10" x14ac:dyDescent="0.15">
      <c r="D285" s="932"/>
      <c r="E285" s="932"/>
      <c r="F285" s="932"/>
      <c r="G285" s="932"/>
      <c r="H285" s="932"/>
      <c r="I285" s="932"/>
      <c r="J285" s="932"/>
    </row>
    <row r="286" spans="4:10" x14ac:dyDescent="0.15">
      <c r="D286" s="932"/>
      <c r="E286" s="932"/>
      <c r="F286" s="932"/>
      <c r="G286" s="932"/>
      <c r="H286" s="932"/>
      <c r="I286" s="932"/>
      <c r="J286" s="932"/>
    </row>
    <row r="287" spans="4:10" x14ac:dyDescent="0.15">
      <c r="D287" s="932"/>
      <c r="E287" s="932"/>
      <c r="F287" s="932"/>
      <c r="G287" s="932"/>
      <c r="H287" s="932"/>
      <c r="I287" s="932"/>
      <c r="J287" s="932"/>
    </row>
    <row r="288" spans="4:10" x14ac:dyDescent="0.15">
      <c r="D288" s="932"/>
      <c r="E288" s="932"/>
      <c r="F288" s="932"/>
      <c r="G288" s="932"/>
      <c r="H288" s="932"/>
      <c r="I288" s="932"/>
      <c r="J288" s="932"/>
    </row>
    <row r="289" spans="4:10" x14ac:dyDescent="0.15">
      <c r="D289" s="932"/>
      <c r="E289" s="932"/>
      <c r="F289" s="932"/>
      <c r="G289" s="932"/>
      <c r="H289" s="932"/>
      <c r="I289" s="932"/>
      <c r="J289" s="932"/>
    </row>
    <row r="290" spans="4:10" x14ac:dyDescent="0.15">
      <c r="D290" s="932"/>
      <c r="E290" s="932"/>
      <c r="F290" s="932"/>
      <c r="G290" s="932"/>
      <c r="H290" s="932"/>
      <c r="I290" s="932"/>
      <c r="J290" s="932"/>
    </row>
    <row r="291" spans="4:10" x14ac:dyDescent="0.15">
      <c r="D291" s="932"/>
      <c r="E291" s="932"/>
      <c r="F291" s="932"/>
      <c r="G291" s="932"/>
      <c r="H291" s="932"/>
      <c r="I291" s="932"/>
      <c r="J291" s="932"/>
    </row>
    <row r="292" spans="4:10" x14ac:dyDescent="0.15">
      <c r="D292" s="932"/>
      <c r="E292" s="932"/>
      <c r="F292" s="932"/>
      <c r="G292" s="932"/>
      <c r="H292" s="932"/>
      <c r="I292" s="932"/>
      <c r="J292" s="932"/>
    </row>
    <row r="293" spans="4:10" x14ac:dyDescent="0.15">
      <c r="D293" s="932"/>
      <c r="E293" s="932"/>
      <c r="F293" s="932"/>
      <c r="G293" s="932"/>
      <c r="H293" s="932"/>
      <c r="I293" s="932"/>
      <c r="J293" s="932"/>
    </row>
    <row r="294" spans="4:10" x14ac:dyDescent="0.15">
      <c r="D294" s="932"/>
      <c r="E294" s="932"/>
      <c r="F294" s="932"/>
      <c r="G294" s="932"/>
      <c r="H294" s="932"/>
      <c r="I294" s="932"/>
      <c r="J294" s="932"/>
    </row>
    <row r="295" spans="4:10" x14ac:dyDescent="0.15">
      <c r="D295" s="932"/>
      <c r="E295" s="932"/>
      <c r="F295" s="932"/>
      <c r="G295" s="932"/>
      <c r="H295" s="932"/>
      <c r="I295" s="932"/>
      <c r="J295" s="932"/>
    </row>
    <row r="296" spans="4:10" x14ac:dyDescent="0.15">
      <c r="D296" s="932"/>
      <c r="E296" s="932"/>
      <c r="F296" s="932"/>
      <c r="G296" s="932"/>
      <c r="H296" s="932"/>
      <c r="I296" s="932"/>
      <c r="J296" s="932"/>
    </row>
    <row r="297" spans="4:10" x14ac:dyDescent="0.15">
      <c r="D297" s="932"/>
      <c r="E297" s="932"/>
      <c r="F297" s="932"/>
      <c r="G297" s="932"/>
      <c r="H297" s="932"/>
      <c r="I297" s="932"/>
      <c r="J297" s="932"/>
    </row>
    <row r="298" spans="4:10" x14ac:dyDescent="0.15">
      <c r="D298" s="932"/>
      <c r="E298" s="932"/>
      <c r="F298" s="932"/>
      <c r="G298" s="932"/>
      <c r="H298" s="932"/>
      <c r="I298" s="932"/>
      <c r="J298" s="932"/>
    </row>
    <row r="299" spans="4:10" x14ac:dyDescent="0.15">
      <c r="D299" s="932"/>
      <c r="E299" s="932"/>
      <c r="F299" s="932"/>
      <c r="G299" s="932"/>
      <c r="H299" s="932"/>
      <c r="I299" s="932"/>
      <c r="J299" s="932"/>
    </row>
    <row r="300" spans="4:10" x14ac:dyDescent="0.15">
      <c r="D300" s="932"/>
      <c r="E300" s="932"/>
      <c r="F300" s="932"/>
      <c r="G300" s="932"/>
      <c r="H300" s="932"/>
      <c r="I300" s="932"/>
      <c r="J300" s="932"/>
    </row>
    <row r="301" spans="4:10" x14ac:dyDescent="0.15">
      <c r="D301" s="932"/>
      <c r="E301" s="932"/>
      <c r="F301" s="932"/>
      <c r="G301" s="932"/>
      <c r="H301" s="932"/>
      <c r="I301" s="932"/>
      <c r="J301" s="932"/>
    </row>
    <row r="302" spans="4:10" x14ac:dyDescent="0.15">
      <c r="D302" s="932"/>
      <c r="E302" s="932"/>
      <c r="F302" s="932"/>
      <c r="G302" s="932"/>
      <c r="H302" s="932"/>
      <c r="I302" s="932"/>
      <c r="J302" s="932"/>
    </row>
    <row r="303" spans="4:10" x14ac:dyDescent="0.15">
      <c r="D303" s="932"/>
      <c r="E303" s="932"/>
      <c r="F303" s="932"/>
      <c r="G303" s="932"/>
      <c r="H303" s="932"/>
      <c r="I303" s="932"/>
      <c r="J303" s="932"/>
    </row>
    <row r="304" spans="4:10" x14ac:dyDescent="0.15">
      <c r="D304" s="932"/>
      <c r="E304" s="932"/>
      <c r="F304" s="932"/>
      <c r="G304" s="932"/>
      <c r="H304" s="932"/>
      <c r="I304" s="932"/>
      <c r="J304" s="932"/>
    </row>
    <row r="305" spans="4:10" x14ac:dyDescent="0.15">
      <c r="D305" s="932"/>
      <c r="E305" s="932"/>
      <c r="F305" s="932"/>
      <c r="G305" s="932"/>
      <c r="H305" s="932"/>
      <c r="I305" s="932"/>
      <c r="J305" s="932"/>
    </row>
    <row r="306" spans="4:10" x14ac:dyDescent="0.15">
      <c r="D306" s="932"/>
      <c r="E306" s="932"/>
      <c r="F306" s="932"/>
      <c r="G306" s="932"/>
      <c r="H306" s="932"/>
      <c r="I306" s="932"/>
      <c r="J306" s="932"/>
    </row>
    <row r="307" spans="4:10" x14ac:dyDescent="0.15">
      <c r="D307" s="932"/>
      <c r="E307" s="932"/>
      <c r="F307" s="932"/>
      <c r="G307" s="932"/>
      <c r="H307" s="932"/>
      <c r="I307" s="932"/>
      <c r="J307" s="932"/>
    </row>
    <row r="308" spans="4:10" x14ac:dyDescent="0.15">
      <c r="D308" s="932"/>
      <c r="E308" s="932"/>
      <c r="F308" s="932"/>
      <c r="G308" s="932"/>
      <c r="H308" s="932"/>
      <c r="I308" s="932"/>
      <c r="J308" s="932"/>
    </row>
    <row r="309" spans="4:10" x14ac:dyDescent="0.15">
      <c r="D309" s="932"/>
      <c r="E309" s="932"/>
      <c r="F309" s="932"/>
      <c r="G309" s="932"/>
      <c r="H309" s="932"/>
      <c r="I309" s="932"/>
      <c r="J309" s="932"/>
    </row>
    <row r="310" spans="4:10" x14ac:dyDescent="0.15">
      <c r="D310" s="932"/>
      <c r="E310" s="932"/>
      <c r="F310" s="932"/>
      <c r="G310" s="932"/>
      <c r="H310" s="932"/>
      <c r="I310" s="932"/>
      <c r="J310" s="932"/>
    </row>
    <row r="311" spans="4:10" x14ac:dyDescent="0.15">
      <c r="D311" s="932"/>
      <c r="E311" s="932"/>
      <c r="F311" s="932"/>
      <c r="G311" s="932"/>
      <c r="H311" s="932"/>
      <c r="I311" s="932"/>
      <c r="J311" s="932"/>
    </row>
    <row r="312" spans="4:10" x14ac:dyDescent="0.15">
      <c r="D312" s="932"/>
      <c r="E312" s="932"/>
      <c r="F312" s="932"/>
      <c r="G312" s="932"/>
      <c r="H312" s="932"/>
      <c r="I312" s="932"/>
      <c r="J312" s="932"/>
    </row>
    <row r="313" spans="4:10" x14ac:dyDescent="0.15">
      <c r="D313" s="932"/>
      <c r="E313" s="932"/>
      <c r="F313" s="932"/>
      <c r="G313" s="932"/>
      <c r="H313" s="932"/>
      <c r="I313" s="932"/>
      <c r="J313" s="932"/>
    </row>
    <row r="314" spans="4:10" x14ac:dyDescent="0.15">
      <c r="D314" s="932"/>
      <c r="E314" s="932"/>
      <c r="F314" s="932"/>
      <c r="G314" s="932"/>
      <c r="H314" s="932"/>
      <c r="I314" s="932"/>
      <c r="J314" s="932"/>
    </row>
    <row r="315" spans="4:10" x14ac:dyDescent="0.15">
      <c r="D315" s="932"/>
      <c r="E315" s="932"/>
      <c r="F315" s="932"/>
      <c r="G315" s="932"/>
      <c r="H315" s="932"/>
      <c r="I315" s="932"/>
      <c r="J315" s="932"/>
    </row>
    <row r="316" spans="4:10" x14ac:dyDescent="0.15">
      <c r="D316" s="932"/>
      <c r="E316" s="932"/>
      <c r="F316" s="932"/>
      <c r="G316" s="932"/>
      <c r="H316" s="932"/>
      <c r="I316" s="932"/>
      <c r="J316" s="932"/>
    </row>
    <row r="317" spans="4:10" x14ac:dyDescent="0.15">
      <c r="D317" s="932"/>
      <c r="E317" s="932"/>
      <c r="F317" s="932"/>
      <c r="G317" s="932"/>
      <c r="H317" s="932"/>
      <c r="I317" s="932"/>
      <c r="J317" s="932"/>
    </row>
    <row r="318" spans="4:10" x14ac:dyDescent="0.15">
      <c r="D318" s="932"/>
      <c r="E318" s="932"/>
      <c r="F318" s="932"/>
      <c r="G318" s="932"/>
      <c r="H318" s="932"/>
      <c r="I318" s="932"/>
      <c r="J318" s="932"/>
    </row>
    <row r="319" spans="4:10" x14ac:dyDescent="0.15">
      <c r="D319" s="932"/>
      <c r="E319" s="932"/>
      <c r="F319" s="932"/>
      <c r="G319" s="932"/>
      <c r="H319" s="932"/>
      <c r="I319" s="932"/>
      <c r="J319" s="932"/>
    </row>
    <row r="320" spans="4:10" x14ac:dyDescent="0.15">
      <c r="D320" s="932"/>
      <c r="E320" s="932"/>
      <c r="F320" s="932"/>
      <c r="G320" s="932"/>
      <c r="H320" s="932"/>
      <c r="I320" s="932"/>
      <c r="J320" s="932"/>
    </row>
    <row r="321" spans="4:10" x14ac:dyDescent="0.15">
      <c r="D321" s="932"/>
      <c r="E321" s="932"/>
      <c r="F321" s="932"/>
      <c r="G321" s="932"/>
      <c r="H321" s="932"/>
      <c r="I321" s="932"/>
      <c r="J321" s="932"/>
    </row>
    <row r="322" spans="4:10" x14ac:dyDescent="0.15">
      <c r="D322" s="932"/>
      <c r="E322" s="932"/>
      <c r="F322" s="932"/>
      <c r="G322" s="932"/>
      <c r="H322" s="932"/>
      <c r="I322" s="932"/>
      <c r="J322" s="932"/>
    </row>
    <row r="323" spans="4:10" x14ac:dyDescent="0.15">
      <c r="D323" s="932"/>
      <c r="E323" s="932"/>
      <c r="F323" s="932"/>
      <c r="G323" s="932"/>
      <c r="H323" s="932"/>
      <c r="I323" s="932"/>
      <c r="J323" s="932"/>
    </row>
    <row r="324" spans="4:10" x14ac:dyDescent="0.15">
      <c r="D324" s="932"/>
      <c r="E324" s="932"/>
      <c r="F324" s="932"/>
      <c r="G324" s="932"/>
      <c r="H324" s="932"/>
      <c r="I324" s="932"/>
      <c r="J324" s="932"/>
    </row>
    <row r="325" spans="4:10" x14ac:dyDescent="0.15">
      <c r="D325" s="932"/>
      <c r="E325" s="932"/>
      <c r="F325" s="932"/>
      <c r="G325" s="932"/>
      <c r="H325" s="932"/>
      <c r="I325" s="932"/>
      <c r="J325" s="932"/>
    </row>
    <row r="326" spans="4:10" x14ac:dyDescent="0.15">
      <c r="D326" s="932"/>
      <c r="E326" s="932"/>
      <c r="F326" s="932"/>
      <c r="G326" s="932"/>
      <c r="H326" s="932"/>
      <c r="I326" s="932"/>
      <c r="J326" s="932"/>
    </row>
    <row r="327" spans="4:10" x14ac:dyDescent="0.15">
      <c r="D327" s="932"/>
      <c r="E327" s="932"/>
      <c r="F327" s="932"/>
      <c r="G327" s="932"/>
      <c r="H327" s="932"/>
      <c r="I327" s="932"/>
      <c r="J327" s="932"/>
    </row>
    <row r="328" spans="4:10" x14ac:dyDescent="0.15">
      <c r="D328" s="932"/>
      <c r="E328" s="932"/>
      <c r="F328" s="932"/>
      <c r="G328" s="932"/>
      <c r="H328" s="932"/>
      <c r="I328" s="932"/>
      <c r="J328" s="932"/>
    </row>
    <row r="329" spans="4:10" x14ac:dyDescent="0.15">
      <c r="D329" s="932"/>
      <c r="E329" s="932"/>
      <c r="F329" s="932"/>
      <c r="G329" s="932"/>
      <c r="H329" s="932"/>
      <c r="I329" s="932"/>
      <c r="J329" s="932"/>
    </row>
    <row r="330" spans="4:10" x14ac:dyDescent="0.15">
      <c r="D330" s="932"/>
      <c r="E330" s="932"/>
      <c r="F330" s="932"/>
      <c r="G330" s="932"/>
      <c r="H330" s="932"/>
      <c r="I330" s="932"/>
      <c r="J330" s="932"/>
    </row>
    <row r="331" spans="4:10" x14ac:dyDescent="0.15">
      <c r="D331" s="932"/>
      <c r="E331" s="932"/>
      <c r="F331" s="932"/>
      <c r="G331" s="932"/>
      <c r="H331" s="932"/>
      <c r="I331" s="932"/>
      <c r="J331" s="932"/>
    </row>
    <row r="332" spans="4:10" x14ac:dyDescent="0.15">
      <c r="D332" s="932"/>
      <c r="E332" s="932"/>
      <c r="F332" s="932"/>
      <c r="G332" s="932"/>
      <c r="H332" s="932"/>
      <c r="I332" s="932"/>
      <c r="J332" s="932"/>
    </row>
    <row r="333" spans="4:10" x14ac:dyDescent="0.15">
      <c r="D333" s="932"/>
      <c r="E333" s="932"/>
      <c r="F333" s="932"/>
      <c r="G333" s="932"/>
      <c r="H333" s="932"/>
      <c r="I333" s="932"/>
      <c r="J333" s="932"/>
    </row>
    <row r="334" spans="4:10" x14ac:dyDescent="0.15">
      <c r="D334" s="932"/>
      <c r="E334" s="932"/>
      <c r="F334" s="932"/>
      <c r="G334" s="932"/>
      <c r="H334" s="932"/>
      <c r="I334" s="932"/>
      <c r="J334" s="932"/>
    </row>
    <row r="335" spans="4:10" x14ac:dyDescent="0.15">
      <c r="D335" s="932"/>
      <c r="E335" s="932"/>
      <c r="F335" s="932"/>
      <c r="G335" s="932"/>
      <c r="H335" s="932"/>
      <c r="I335" s="932"/>
      <c r="J335" s="932"/>
    </row>
    <row r="336" spans="4:10" x14ac:dyDescent="0.15">
      <c r="D336" s="932"/>
      <c r="E336" s="932"/>
      <c r="F336" s="932"/>
      <c r="G336" s="932"/>
      <c r="H336" s="932"/>
      <c r="I336" s="932"/>
      <c r="J336" s="932"/>
    </row>
    <row r="337" spans="3:10" x14ac:dyDescent="0.15">
      <c r="D337" s="932"/>
      <c r="E337" s="932"/>
      <c r="F337" s="932"/>
      <c r="G337" s="932"/>
      <c r="H337" s="932"/>
      <c r="I337" s="932"/>
      <c r="J337" s="932"/>
    </row>
    <row r="338" spans="3:10" x14ac:dyDescent="0.15">
      <c r="D338" s="932"/>
      <c r="E338" s="932"/>
      <c r="F338" s="932"/>
      <c r="G338" s="932"/>
      <c r="H338" s="932"/>
      <c r="I338" s="932"/>
      <c r="J338" s="932"/>
    </row>
    <row r="339" spans="3:10" x14ac:dyDescent="0.15">
      <c r="D339" s="932"/>
      <c r="E339" s="932"/>
      <c r="F339" s="932"/>
      <c r="G339" s="932"/>
      <c r="H339" s="932"/>
      <c r="I339" s="932"/>
      <c r="J339" s="932"/>
    </row>
    <row r="340" spans="3:10" x14ac:dyDescent="0.15">
      <c r="D340" s="932"/>
      <c r="E340" s="932"/>
      <c r="F340" s="932"/>
      <c r="G340" s="932"/>
      <c r="H340" s="932"/>
      <c r="I340" s="932"/>
      <c r="J340" s="932"/>
    </row>
    <row r="341" spans="3:10" x14ac:dyDescent="0.15">
      <c r="D341" s="932"/>
      <c r="E341" s="932"/>
      <c r="F341" s="932"/>
      <c r="G341" s="932"/>
      <c r="H341" s="932"/>
      <c r="I341" s="932"/>
      <c r="J341" s="932"/>
    </row>
    <row r="342" spans="3:10" x14ac:dyDescent="0.15">
      <c r="D342" s="932"/>
      <c r="E342" s="932"/>
      <c r="F342" s="932"/>
      <c r="G342" s="932"/>
      <c r="H342" s="932"/>
      <c r="I342" s="932"/>
      <c r="J342" s="932"/>
    </row>
    <row r="343" spans="3:10" x14ac:dyDescent="0.15">
      <c r="D343" s="932"/>
      <c r="E343" s="932"/>
      <c r="F343" s="932"/>
      <c r="G343" s="932"/>
      <c r="H343" s="932"/>
      <c r="I343" s="932"/>
      <c r="J343" s="932"/>
    </row>
    <row r="344" spans="3:10" x14ac:dyDescent="0.15">
      <c r="D344" s="932"/>
      <c r="E344" s="932"/>
      <c r="F344" s="932"/>
      <c r="G344" s="932"/>
      <c r="H344" s="932"/>
      <c r="I344" s="932"/>
      <c r="J344" s="932"/>
    </row>
    <row r="345" spans="3:10" x14ac:dyDescent="0.15">
      <c r="D345" s="932"/>
      <c r="E345" s="932"/>
      <c r="F345" s="932"/>
      <c r="G345" s="932"/>
      <c r="H345" s="932"/>
      <c r="I345" s="932"/>
      <c r="J345" s="932"/>
    </row>
    <row r="346" spans="3:10" x14ac:dyDescent="0.15">
      <c r="D346" s="932"/>
      <c r="E346" s="932"/>
      <c r="F346" s="932"/>
      <c r="G346" s="932"/>
      <c r="H346" s="932"/>
      <c r="I346" s="932"/>
      <c r="J346" s="932"/>
    </row>
    <row r="347" spans="3:10" x14ac:dyDescent="0.15">
      <c r="D347" s="932"/>
      <c r="E347" s="932"/>
      <c r="F347" s="932"/>
      <c r="G347" s="932"/>
      <c r="H347" s="932"/>
      <c r="I347" s="932"/>
      <c r="J347" s="932"/>
    </row>
    <row r="348" spans="3:10" hidden="1" x14ac:dyDescent="0.15">
      <c r="D348" s="932"/>
      <c r="E348" s="1007" t="s">
        <v>1291</v>
      </c>
      <c r="F348" s="1008"/>
      <c r="G348" s="1007" t="s">
        <v>1292</v>
      </c>
      <c r="H348" s="1008"/>
      <c r="I348" s="995" t="s">
        <v>1293</v>
      </c>
      <c r="J348" s="995" t="s">
        <v>1294</v>
      </c>
    </row>
    <row r="349" spans="3:10" hidden="1" x14ac:dyDescent="0.15">
      <c r="D349" s="932"/>
      <c r="E349" s="932"/>
      <c r="F349" s="932"/>
      <c r="G349" s="932"/>
      <c r="H349" s="932"/>
      <c r="I349" s="932"/>
      <c r="J349" s="932"/>
    </row>
    <row r="350" spans="3:10" hidden="1" x14ac:dyDescent="0.15">
      <c r="D350" s="932"/>
      <c r="E350" s="932"/>
      <c r="F350" s="932"/>
      <c r="G350" s="932"/>
      <c r="H350" s="932"/>
      <c r="I350" s="932"/>
      <c r="J350" s="932"/>
    </row>
    <row r="351" spans="3:10" hidden="1" x14ac:dyDescent="0.15">
      <c r="C351" s="60" t="str">
        <f>+""</f>
        <v/>
      </c>
      <c r="D351" s="52" t="s">
        <v>1348</v>
      </c>
      <c r="E351" s="52" t="e">
        <f>VLOOKUP(#REF!,$K$448:$Q$454,4)</f>
        <v>#REF!</v>
      </c>
      <c r="F351" s="52" t="e">
        <f>VLOOKUP(#REF!,$K$448:$Q$454,4)</f>
        <v>#REF!</v>
      </c>
      <c r="G351" s="52" t="e">
        <f>VLOOKUP(#REF!,$K$448:$Q$454,4)</f>
        <v>#REF!</v>
      </c>
      <c r="H351" s="52" t="e">
        <f>VLOOKUP(#REF!,$K$448:$Q$454,4)</f>
        <v>#REF!</v>
      </c>
      <c r="I351" s="52" t="e">
        <f>VLOOKUP(#REF!,$K$448:$Q$454,4)</f>
        <v>#REF!</v>
      </c>
      <c r="J351" s="52" t="e">
        <f>VLOOKUP(#REF!,$K$448:$Q$454,4)</f>
        <v>#REF!</v>
      </c>
    </row>
    <row r="352" spans="3:10" hidden="1" x14ac:dyDescent="0.15">
      <c r="C352" s="60" t="s">
        <v>1349</v>
      </c>
      <c r="D352" s="52" t="s">
        <v>1350</v>
      </c>
      <c r="E352" s="52">
        <f t="shared" ref="E352:J352" si="110">+VALUE(RIGHT(E39,3))</f>
        <v>1</v>
      </c>
      <c r="F352" s="52" t="e">
        <f t="shared" si="110"/>
        <v>#VALUE!</v>
      </c>
      <c r="G352" s="52" t="e">
        <f t="shared" si="110"/>
        <v>#VALUE!</v>
      </c>
      <c r="H352" s="52" t="e">
        <f t="shared" si="110"/>
        <v>#VALUE!</v>
      </c>
      <c r="I352" s="52" t="e">
        <f t="shared" si="110"/>
        <v>#VALUE!</v>
      </c>
      <c r="J352" s="52" t="e">
        <f t="shared" si="110"/>
        <v>#VALUE!</v>
      </c>
    </row>
    <row r="353" spans="3:19" hidden="1" x14ac:dyDescent="0.15">
      <c r="C353" s="60" t="s">
        <v>1347</v>
      </c>
      <c r="D353" s="52" t="s">
        <v>1346</v>
      </c>
      <c r="E353" s="52" t="e">
        <f>+VALUE(RIGHT(#REF!,3))</f>
        <v>#REF!</v>
      </c>
      <c r="F353" s="52" t="e">
        <f>+VALUE(RIGHT(#REF!,3))</f>
        <v>#REF!</v>
      </c>
      <c r="G353" s="52" t="e">
        <f>+VALUE(RIGHT(#REF!,3))</f>
        <v>#REF!</v>
      </c>
      <c r="H353" s="52" t="e">
        <f>+VALUE(RIGHT(#REF!,3))</f>
        <v>#REF!</v>
      </c>
      <c r="I353" s="52" t="e">
        <f>+VALUE(RIGHT(#REF!,3))</f>
        <v>#REF!</v>
      </c>
      <c r="J353" s="52" t="e">
        <f>+VALUE(RIGHT(#REF!,3))</f>
        <v>#REF!</v>
      </c>
    </row>
    <row r="354" spans="3:19" hidden="1" x14ac:dyDescent="0.15">
      <c r="D354" s="52"/>
      <c r="E354" s="52"/>
      <c r="F354" s="52"/>
      <c r="G354" s="52"/>
      <c r="H354" s="52"/>
      <c r="I354" s="52"/>
      <c r="J354" s="52"/>
    </row>
    <row r="355" spans="3:19" hidden="1" x14ac:dyDescent="0.15">
      <c r="C355" s="60">
        <v>1</v>
      </c>
      <c r="D355" s="52"/>
      <c r="E355" s="52"/>
      <c r="F355" s="52"/>
      <c r="G355" s="52"/>
      <c r="H355" s="52"/>
      <c r="I355" s="52"/>
      <c r="J355" s="52"/>
    </row>
    <row r="356" spans="3:19" hidden="1" x14ac:dyDescent="0.15">
      <c r="C356" s="60">
        <v>2</v>
      </c>
      <c r="D356" s="52"/>
      <c r="E356" s="52"/>
      <c r="F356" s="52"/>
      <c r="G356" s="52"/>
      <c r="H356" s="52"/>
      <c r="I356" s="52"/>
      <c r="J356" s="52"/>
    </row>
    <row r="357" spans="3:19" hidden="1" x14ac:dyDescent="0.15">
      <c r="D357" s="932"/>
      <c r="E357" s="932"/>
      <c r="F357" s="932"/>
      <c r="G357" s="932"/>
      <c r="H357" s="932"/>
      <c r="I357" s="932"/>
      <c r="J357" s="932"/>
      <c r="R357" s="60" t="s">
        <v>1351</v>
      </c>
      <c r="S357" s="60" t="s">
        <v>1352</v>
      </c>
    </row>
    <row r="358" spans="3:19" hidden="1" x14ac:dyDescent="0.15">
      <c r="D358" s="932"/>
      <c r="E358" s="932"/>
      <c r="F358" s="932"/>
      <c r="G358" s="932"/>
      <c r="H358" s="932"/>
      <c r="I358" s="932"/>
      <c r="J358" s="932"/>
      <c r="O358" s="933" t="s">
        <v>1353</v>
      </c>
      <c r="P358" s="934" t="s">
        <v>1354</v>
      </c>
      <c r="Q358" s="933"/>
      <c r="R358" s="934" t="s">
        <v>1354</v>
      </c>
      <c r="S358" s="934" t="s">
        <v>1354</v>
      </c>
    </row>
    <row r="359" spans="3:19" hidden="1" x14ac:dyDescent="0.15">
      <c r="D359" s="7" t="s">
        <v>1306</v>
      </c>
      <c r="E359" s="1086">
        <f>+E11</f>
        <v>0.4</v>
      </c>
      <c r="F359" s="1086">
        <f>+E359</f>
        <v>0.4</v>
      </c>
      <c r="G359" s="1086">
        <f>+G11</f>
        <v>0</v>
      </c>
      <c r="H359" s="1086">
        <f>+G359</f>
        <v>0</v>
      </c>
      <c r="I359" s="932"/>
      <c r="J359" s="932"/>
      <c r="O359" s="933" t="s">
        <v>245</v>
      </c>
      <c r="P359" s="933">
        <v>500</v>
      </c>
      <c r="Q359" s="933">
        <v>300</v>
      </c>
      <c r="R359" s="933">
        <f>SUM(P359:Q359)</f>
        <v>800</v>
      </c>
      <c r="S359" s="933">
        <f>+R359-100</f>
        <v>700</v>
      </c>
    </row>
    <row r="360" spans="3:19" hidden="1" x14ac:dyDescent="0.15">
      <c r="D360" s="7" t="s">
        <v>83</v>
      </c>
      <c r="E360" s="80">
        <f>ROUND(ATAN(E359)*180/PI(),4)</f>
        <v>21.801400000000001</v>
      </c>
      <c r="F360" s="80">
        <f>ROUND(ATAN(F359)*180/PI(),4)</f>
        <v>21.801400000000001</v>
      </c>
      <c r="G360" s="80">
        <f>ROUND(ATAN(G359)*180/PI(),4)</f>
        <v>0</v>
      </c>
      <c r="H360" s="80">
        <f>ROUND(ATAN(H359)*180/PI(),4)</f>
        <v>0</v>
      </c>
      <c r="I360" s="932"/>
      <c r="J360" s="932"/>
      <c r="O360" s="933" t="s">
        <v>246</v>
      </c>
      <c r="P360" s="933">
        <v>500</v>
      </c>
      <c r="Q360" s="933">
        <v>300</v>
      </c>
      <c r="R360" s="933">
        <f>SUM(P360:Q360)</f>
        <v>800</v>
      </c>
      <c r="S360" s="933">
        <f>+R360-100</f>
        <v>700</v>
      </c>
    </row>
    <row r="361" spans="3:19" hidden="1" x14ac:dyDescent="0.15">
      <c r="D361" s="52" t="s">
        <v>1355</v>
      </c>
      <c r="E361" s="80">
        <f>IF(E359=0,0,ROUND(COS(E360*PI()/180),3))</f>
        <v>0.92800000000000005</v>
      </c>
      <c r="F361" s="80">
        <f>IF(F359=0,0,ROUND(COS(F360*PI()/180),3))</f>
        <v>0.92800000000000005</v>
      </c>
      <c r="G361" s="80">
        <f>IF(G359=0,0,ROUND(COS(G360*PI()/180),3))</f>
        <v>0</v>
      </c>
      <c r="H361" s="80">
        <f>IF(H359=0,0,ROUND(COS(H360*PI()/180),3))</f>
        <v>0</v>
      </c>
      <c r="I361" s="932"/>
      <c r="J361" s="932"/>
      <c r="O361" s="933" t="s">
        <v>247</v>
      </c>
      <c r="P361" s="933">
        <v>600</v>
      </c>
      <c r="Q361" s="933">
        <v>300</v>
      </c>
      <c r="R361" s="933">
        <f>SUM(P361:Q361)</f>
        <v>900</v>
      </c>
      <c r="S361" s="933">
        <f>+R361-100</f>
        <v>800</v>
      </c>
    </row>
    <row r="362" spans="3:19" hidden="1" x14ac:dyDescent="0.15">
      <c r="D362" s="52" t="s">
        <v>1356</v>
      </c>
      <c r="E362" s="80">
        <f>ROUND(SIN(E360*PI()/180),3)</f>
        <v>0.371</v>
      </c>
      <c r="F362" s="80">
        <f>ROUND(SIN(F360*PI()/180),3)</f>
        <v>0.371</v>
      </c>
      <c r="G362" s="80">
        <f>ROUND(SIN(G360*PI()/180),3)</f>
        <v>0</v>
      </c>
      <c r="H362" s="80">
        <f>ROUND(SIN(H360*PI()/180),3)</f>
        <v>0</v>
      </c>
      <c r="I362" s="932"/>
      <c r="J362" s="932"/>
      <c r="O362" s="933" t="s">
        <v>248</v>
      </c>
      <c r="P362" s="933">
        <v>700</v>
      </c>
      <c r="Q362" s="933">
        <v>300</v>
      </c>
      <c r="R362" s="933">
        <f>SUM(P362:Q362)</f>
        <v>1000</v>
      </c>
      <c r="S362" s="933">
        <f>+R362-100</f>
        <v>900</v>
      </c>
    </row>
    <row r="363" spans="3:19" hidden="1" x14ac:dyDescent="0.15">
      <c r="D363" s="7" t="s">
        <v>1357</v>
      </c>
      <c r="E363" s="53">
        <f>+E3</f>
        <v>650</v>
      </c>
      <c r="F363" s="53">
        <f>+F3</f>
        <v>650</v>
      </c>
      <c r="G363" s="53">
        <f>+G3</f>
        <v>0</v>
      </c>
      <c r="H363" s="53">
        <f>+H3</f>
        <v>0</v>
      </c>
      <c r="I363" s="932"/>
      <c r="J363" s="932"/>
    </row>
    <row r="364" spans="3:19" hidden="1" x14ac:dyDescent="0.15">
      <c r="D364" s="7" t="s">
        <v>1358</v>
      </c>
      <c r="E364" s="80">
        <f>ROUNDUP(E363*E362*E12,0)</f>
        <v>145</v>
      </c>
      <c r="F364" s="80">
        <f>ROUNDUP(F363*F362*F12,0)</f>
        <v>278</v>
      </c>
      <c r="G364" s="80">
        <f>ROUNDUP(G363*G362*G12,0)</f>
        <v>0</v>
      </c>
      <c r="H364" s="80">
        <f>ROUNDUP(H363*H362*H12,0)</f>
        <v>0</v>
      </c>
      <c r="I364" s="932"/>
      <c r="J364" s="932"/>
    </row>
    <row r="365" spans="3:19" hidden="1" x14ac:dyDescent="0.15">
      <c r="D365" s="7" t="s">
        <v>1359</v>
      </c>
      <c r="E365" s="80">
        <f>ROUNDUP(E363*E361*E12,0)</f>
        <v>362</v>
      </c>
      <c r="F365" s="80">
        <f>ROUNDUP(F363*F361*F12,0)</f>
        <v>694</v>
      </c>
      <c r="G365" s="80">
        <f>ROUNDUP(G363*G361*G12,0)</f>
        <v>0</v>
      </c>
      <c r="H365" s="80">
        <f>ROUNDUP(H363*H361*H12,0)</f>
        <v>0</v>
      </c>
      <c r="I365" s="932"/>
      <c r="J365" s="932"/>
    </row>
    <row r="366" spans="3:19" hidden="1" x14ac:dyDescent="0.15">
      <c r="D366" s="932"/>
      <c r="E366" s="932"/>
      <c r="F366" s="932"/>
      <c r="G366" s="932"/>
      <c r="H366" s="932"/>
      <c r="I366" s="932"/>
      <c r="J366" s="932"/>
    </row>
    <row r="367" spans="3:19" hidden="1" x14ac:dyDescent="0.15">
      <c r="D367" s="932"/>
      <c r="E367" s="932"/>
      <c r="F367" s="932"/>
      <c r="G367" s="932"/>
      <c r="H367" s="932"/>
      <c r="I367" s="932"/>
      <c r="J367" s="932"/>
    </row>
    <row r="368" spans="3:19" hidden="1" x14ac:dyDescent="0.15">
      <c r="D368" s="932"/>
      <c r="E368" s="932"/>
      <c r="F368" s="932"/>
      <c r="G368" s="932"/>
      <c r="H368" s="932"/>
      <c r="I368" s="932"/>
      <c r="J368" s="932"/>
    </row>
    <row r="369" spans="2:19" hidden="1" x14ac:dyDescent="0.15">
      <c r="D369" s="932"/>
      <c r="E369" s="935" t="s">
        <v>1332</v>
      </c>
      <c r="F369" s="932"/>
      <c r="G369" s="932"/>
      <c r="H369" s="932"/>
      <c r="I369" s="932"/>
      <c r="J369" s="932"/>
    </row>
    <row r="370" spans="2:19" hidden="1" x14ac:dyDescent="0.15">
      <c r="E370" s="60">
        <v>3</v>
      </c>
    </row>
    <row r="371" spans="2:19" hidden="1" x14ac:dyDescent="0.15">
      <c r="E371" s="60">
        <v>5</v>
      </c>
    </row>
    <row r="372" spans="2:19" hidden="1" x14ac:dyDescent="0.15">
      <c r="E372" s="60">
        <v>7</v>
      </c>
    </row>
    <row r="373" spans="2:19" hidden="1" x14ac:dyDescent="0.15">
      <c r="E373" s="60">
        <v>9</v>
      </c>
    </row>
    <row r="374" spans="2:19" hidden="1" x14ac:dyDescent="0.15">
      <c r="J374" s="935"/>
      <c r="K374" s="936"/>
      <c r="L374" s="936"/>
      <c r="M374" s="936"/>
      <c r="N374" s="936"/>
      <c r="O374" s="412"/>
      <c r="P374" s="412"/>
      <c r="Q374" s="412"/>
      <c r="R374" s="412"/>
    </row>
    <row r="375" spans="2:19" hidden="1" x14ac:dyDescent="0.15">
      <c r="G375" s="936"/>
      <c r="H375" s="937"/>
    </row>
    <row r="376" spans="2:19" ht="15" hidden="1" thickBot="1" x14ac:dyDescent="0.2">
      <c r="B376" s="70" t="s">
        <v>87</v>
      </c>
      <c r="C376" s="8"/>
      <c r="D376" s="8"/>
      <c r="G376" s="936"/>
      <c r="H376" s="937"/>
      <c r="K376" s="937"/>
      <c r="L376" s="937"/>
      <c r="M376" s="937"/>
      <c r="N376" s="937"/>
      <c r="Q376" s="937"/>
    </row>
    <row r="377" spans="2:19" ht="15" hidden="1" thickBot="1" x14ac:dyDescent="0.2">
      <c r="B377" s="136" t="s">
        <v>88</v>
      </c>
      <c r="C377" s="938" t="s">
        <v>1360</v>
      </c>
      <c r="D377" s="939"/>
      <c r="G377" s="940"/>
      <c r="H377" s="941" t="s">
        <v>538</v>
      </c>
      <c r="I377" s="942"/>
      <c r="J377" s="943" t="s">
        <v>539</v>
      </c>
      <c r="K377" s="1731">
        <f>+断面算定!H5</f>
        <v>0</v>
      </c>
      <c r="L377" s="1732"/>
      <c r="M377" s="1732"/>
      <c r="N377" s="1732"/>
      <c r="O377" s="1733"/>
      <c r="P377" s="942" t="s">
        <v>853</v>
      </c>
      <c r="Q377" s="942"/>
      <c r="R377" s="942"/>
      <c r="S377" s="944"/>
    </row>
    <row r="378" spans="2:19" ht="15" hidden="1" thickBot="1" x14ac:dyDescent="0.2">
      <c r="B378" s="70" t="s">
        <v>1361</v>
      </c>
      <c r="C378" s="938" t="s">
        <v>1362</v>
      </c>
      <c r="D378" s="945"/>
      <c r="G378" s="1734" t="s">
        <v>1363</v>
      </c>
      <c r="H378" s="1736" t="s">
        <v>15</v>
      </c>
      <c r="I378" s="1738" t="s">
        <v>16</v>
      </c>
      <c r="J378" s="1741" t="s">
        <v>17</v>
      </c>
      <c r="K378" s="1738" t="s">
        <v>19</v>
      </c>
      <c r="L378" s="1738"/>
      <c r="M378" s="1738"/>
      <c r="N378" s="1738"/>
      <c r="O378" s="1738"/>
      <c r="P378" s="1738"/>
      <c r="Q378" s="1738"/>
      <c r="R378" s="1742"/>
      <c r="S378" s="1743"/>
    </row>
    <row r="379" spans="2:19" ht="15" hidden="1" thickBot="1" x14ac:dyDescent="0.2">
      <c r="B379" s="946" t="s">
        <v>5</v>
      </c>
      <c r="C379" s="947" t="s">
        <v>1364</v>
      </c>
      <c r="D379" s="948"/>
      <c r="G379" s="1735"/>
      <c r="H379" s="1737"/>
      <c r="I379" s="1739"/>
      <c r="J379" s="1739"/>
      <c r="K379" s="1060" t="s">
        <v>1365</v>
      </c>
      <c r="L379" s="1060"/>
      <c r="M379" s="1060"/>
      <c r="N379" s="1060"/>
      <c r="O379" s="1060" t="s">
        <v>1366</v>
      </c>
      <c r="P379" s="1060" t="s">
        <v>1367</v>
      </c>
      <c r="Q379" s="1060" t="s">
        <v>1368</v>
      </c>
      <c r="R379" s="1060" t="s">
        <v>1369</v>
      </c>
      <c r="S379" s="949" t="s">
        <v>1370</v>
      </c>
    </row>
    <row r="380" spans="2:19" ht="15" hidden="1" thickBot="1" x14ac:dyDescent="0.2">
      <c r="B380" s="15" t="s">
        <v>89</v>
      </c>
      <c r="C380" s="947" t="s">
        <v>1371</v>
      </c>
      <c r="D380" s="948"/>
      <c r="G380" s="1735"/>
      <c r="H380" s="950"/>
      <c r="I380" s="1740"/>
      <c r="J380" s="1740"/>
      <c r="K380" s="1061" t="s">
        <v>1</v>
      </c>
      <c r="L380" s="1061"/>
      <c r="M380" s="1061"/>
      <c r="N380" s="1061"/>
      <c r="O380" s="1061" t="s">
        <v>3</v>
      </c>
      <c r="P380" s="1061" t="s">
        <v>2</v>
      </c>
      <c r="Q380" s="1061" t="s">
        <v>4</v>
      </c>
      <c r="R380" s="1061" t="s">
        <v>244</v>
      </c>
      <c r="S380" s="951" t="s">
        <v>20</v>
      </c>
    </row>
    <row r="381" spans="2:19" hidden="1" x14ac:dyDescent="0.15">
      <c r="B381" s="70" t="s">
        <v>90</v>
      </c>
      <c r="C381" s="938" t="s">
        <v>1372</v>
      </c>
      <c r="D381" s="945"/>
      <c r="G381" s="952">
        <v>1</v>
      </c>
      <c r="H381" s="953" t="s">
        <v>23</v>
      </c>
      <c r="I381" s="953" t="s">
        <v>1373</v>
      </c>
      <c r="J381" s="954" t="s">
        <v>1374</v>
      </c>
      <c r="K381" s="955">
        <f>+許容応力!F6</f>
        <v>0</v>
      </c>
      <c r="L381" s="955"/>
      <c r="M381" s="955"/>
      <c r="N381" s="955"/>
      <c r="O381" s="955">
        <f>+許容応力!G6</f>
        <v>0</v>
      </c>
      <c r="P381" s="955">
        <f>+許容応力!H6</f>
        <v>0</v>
      </c>
      <c r="Q381" s="955">
        <f>+許容応力!I6</f>
        <v>0</v>
      </c>
      <c r="R381" s="955">
        <f>+許容応力!J6</f>
        <v>0</v>
      </c>
      <c r="S381" s="1009">
        <f>+許容応力!K6</f>
        <v>0</v>
      </c>
    </row>
    <row r="382" spans="2:19" hidden="1" x14ac:dyDescent="0.15">
      <c r="B382" s="70" t="s">
        <v>91</v>
      </c>
      <c r="C382" s="938" t="s">
        <v>1375</v>
      </c>
      <c r="D382" s="939"/>
      <c r="G382" s="956">
        <v>2</v>
      </c>
      <c r="H382" s="928" t="s">
        <v>24</v>
      </c>
      <c r="I382" s="928" t="s">
        <v>1373</v>
      </c>
      <c r="J382" s="957" t="s">
        <v>1374</v>
      </c>
      <c r="K382" s="955">
        <f>+許容応力!F7</f>
        <v>0</v>
      </c>
      <c r="L382" s="955"/>
      <c r="M382" s="955"/>
      <c r="N382" s="955"/>
      <c r="O382" s="955">
        <f>+許容応力!G7</f>
        <v>0</v>
      </c>
      <c r="P382" s="955">
        <f>+許容応力!H7</f>
        <v>0</v>
      </c>
      <c r="Q382" s="955">
        <f>+許容応力!I7</f>
        <v>0</v>
      </c>
      <c r="R382" s="955">
        <f>+許容応力!J7</f>
        <v>0</v>
      </c>
      <c r="S382" s="1009">
        <f>+許容応力!K7</f>
        <v>0</v>
      </c>
    </row>
    <row r="383" spans="2:19" hidden="1" x14ac:dyDescent="0.15">
      <c r="B383" s="70"/>
      <c r="C383" s="938" t="s">
        <v>1376</v>
      </c>
      <c r="D383" s="958"/>
      <c r="G383" s="956">
        <v>3</v>
      </c>
      <c r="H383" s="928" t="s">
        <v>25</v>
      </c>
      <c r="I383" s="928" t="s">
        <v>1373</v>
      </c>
      <c r="J383" s="957" t="s">
        <v>1374</v>
      </c>
      <c r="K383" s="955">
        <f>+許容応力!F8</f>
        <v>0</v>
      </c>
      <c r="L383" s="955"/>
      <c r="M383" s="955"/>
      <c r="N383" s="955"/>
      <c r="O383" s="955">
        <f>+許容応力!G8</f>
        <v>0</v>
      </c>
      <c r="P383" s="955">
        <f>+許容応力!H8</f>
        <v>0</v>
      </c>
      <c r="Q383" s="955">
        <f>+許容応力!I8</f>
        <v>0</v>
      </c>
      <c r="R383" s="955">
        <f>+許容応力!J8</f>
        <v>0</v>
      </c>
      <c r="S383" s="1009">
        <f>+許容応力!K8</f>
        <v>0</v>
      </c>
    </row>
    <row r="384" spans="2:19" hidden="1" x14ac:dyDescent="0.15">
      <c r="B384" s="70"/>
      <c r="C384" s="938" t="s">
        <v>1377</v>
      </c>
      <c r="D384" s="958"/>
      <c r="G384" s="956">
        <v>4</v>
      </c>
      <c r="H384" s="928" t="s">
        <v>26</v>
      </c>
      <c r="I384" s="928" t="s">
        <v>1373</v>
      </c>
      <c r="J384" s="957" t="s">
        <v>1374</v>
      </c>
      <c r="K384" s="955">
        <f>+許容応力!F9</f>
        <v>0</v>
      </c>
      <c r="L384" s="955"/>
      <c r="M384" s="955"/>
      <c r="N384" s="955"/>
      <c r="O384" s="955">
        <f>+許容応力!G9</f>
        <v>0</v>
      </c>
      <c r="P384" s="955">
        <f>+許容応力!H9</f>
        <v>0</v>
      </c>
      <c r="Q384" s="955">
        <f>+許容応力!I9</f>
        <v>0</v>
      </c>
      <c r="R384" s="955">
        <f>+許容応力!J9</f>
        <v>0</v>
      </c>
      <c r="S384" s="1009">
        <f>+許容応力!K9</f>
        <v>0</v>
      </c>
    </row>
    <row r="385" spans="2:19" hidden="1" x14ac:dyDescent="0.15">
      <c r="B385" s="70"/>
      <c r="C385" s="959" t="s">
        <v>1378</v>
      </c>
      <c r="D385" s="958"/>
      <c r="G385" s="956">
        <v>5</v>
      </c>
      <c r="H385" s="928" t="s">
        <v>27</v>
      </c>
      <c r="I385" s="928" t="s">
        <v>1373</v>
      </c>
      <c r="J385" s="957" t="s">
        <v>1374</v>
      </c>
      <c r="K385" s="955">
        <f>+許容応力!F10</f>
        <v>0</v>
      </c>
      <c r="L385" s="955"/>
      <c r="M385" s="955"/>
      <c r="N385" s="955"/>
      <c r="O385" s="955">
        <f>+許容応力!G10</f>
        <v>0</v>
      </c>
      <c r="P385" s="955">
        <f>+許容応力!H10</f>
        <v>0</v>
      </c>
      <c r="Q385" s="955">
        <f>+許容応力!I10</f>
        <v>0</v>
      </c>
      <c r="R385" s="955">
        <f>+許容応力!J10</f>
        <v>0</v>
      </c>
      <c r="S385" s="1009">
        <f>+許容応力!K10</f>
        <v>0</v>
      </c>
    </row>
    <row r="386" spans="2:19" hidden="1" x14ac:dyDescent="0.15">
      <c r="B386" s="136" t="s">
        <v>92</v>
      </c>
      <c r="C386" s="938" t="s">
        <v>1379</v>
      </c>
      <c r="D386" s="939"/>
      <c r="G386" s="956">
        <v>6</v>
      </c>
      <c r="H386" s="928" t="s">
        <v>28</v>
      </c>
      <c r="I386" s="928" t="s">
        <v>1373</v>
      </c>
      <c r="J386" s="957" t="s">
        <v>1374</v>
      </c>
      <c r="K386" s="955">
        <f>+許容応力!F11</f>
        <v>0</v>
      </c>
      <c r="L386" s="955"/>
      <c r="M386" s="955"/>
      <c r="N386" s="955"/>
      <c r="O386" s="955">
        <f>+許容応力!G11</f>
        <v>0</v>
      </c>
      <c r="P386" s="955">
        <f>+許容応力!H11</f>
        <v>0</v>
      </c>
      <c r="Q386" s="955">
        <f>+許容応力!I11</f>
        <v>0</v>
      </c>
      <c r="R386" s="955">
        <f>+許容応力!J11</f>
        <v>0</v>
      </c>
      <c r="S386" s="1009">
        <f>+許容応力!K11</f>
        <v>0</v>
      </c>
    </row>
    <row r="387" spans="2:19" hidden="1" x14ac:dyDescent="0.15">
      <c r="B387" s="136"/>
      <c r="C387" s="938" t="s">
        <v>1380</v>
      </c>
      <c r="D387" s="958"/>
      <c r="G387" s="956">
        <v>7</v>
      </c>
      <c r="H387" s="928" t="s">
        <v>1381</v>
      </c>
      <c r="I387" s="928" t="s">
        <v>1373</v>
      </c>
      <c r="J387" s="957" t="s">
        <v>1374</v>
      </c>
      <c r="K387" s="955">
        <f>+許容応力!F12</f>
        <v>0</v>
      </c>
      <c r="L387" s="955"/>
      <c r="M387" s="955"/>
      <c r="N387" s="955"/>
      <c r="O387" s="955">
        <f>+許容応力!G12</f>
        <v>0</v>
      </c>
      <c r="P387" s="955">
        <f>+許容応力!H12</f>
        <v>0</v>
      </c>
      <c r="Q387" s="955">
        <f>+許容応力!I12</f>
        <v>0</v>
      </c>
      <c r="R387" s="955">
        <f>+許容応力!J12</f>
        <v>0</v>
      </c>
      <c r="S387" s="1009">
        <f>+許容応力!K12</f>
        <v>0</v>
      </c>
    </row>
    <row r="388" spans="2:19" hidden="1" x14ac:dyDescent="0.15">
      <c r="B388" s="136"/>
      <c r="C388" s="938" t="s">
        <v>1382</v>
      </c>
      <c r="D388" s="958"/>
      <c r="G388" s="956">
        <v>8</v>
      </c>
      <c r="H388" s="928" t="s">
        <v>30</v>
      </c>
      <c r="I388" s="928" t="s">
        <v>1373</v>
      </c>
      <c r="J388" s="957" t="s">
        <v>1374</v>
      </c>
      <c r="K388" s="955">
        <f>+許容応力!F13</f>
        <v>0</v>
      </c>
      <c r="L388" s="955"/>
      <c r="M388" s="955"/>
      <c r="N388" s="955"/>
      <c r="O388" s="955">
        <f>+許容応力!G13</f>
        <v>0</v>
      </c>
      <c r="P388" s="955">
        <f>+許容応力!H13</f>
        <v>0</v>
      </c>
      <c r="Q388" s="955">
        <f>+許容応力!I13</f>
        <v>0</v>
      </c>
      <c r="R388" s="955">
        <f>+許容応力!J13</f>
        <v>0</v>
      </c>
      <c r="S388" s="1009">
        <f>+許容応力!K13</f>
        <v>0</v>
      </c>
    </row>
    <row r="389" spans="2:19" hidden="1" x14ac:dyDescent="0.15">
      <c r="B389" s="136"/>
      <c r="C389" s="938" t="s">
        <v>1383</v>
      </c>
      <c r="D389" s="958"/>
      <c r="G389" s="956">
        <v>9</v>
      </c>
      <c r="H389" s="928" t="s">
        <v>31</v>
      </c>
      <c r="I389" s="928" t="s">
        <v>1373</v>
      </c>
      <c r="J389" s="957" t="s">
        <v>1374</v>
      </c>
      <c r="K389" s="955">
        <f>+許容応力!F14</f>
        <v>0</v>
      </c>
      <c r="L389" s="955"/>
      <c r="M389" s="955"/>
      <c r="N389" s="955"/>
      <c r="O389" s="955">
        <f>+許容応力!G14</f>
        <v>0</v>
      </c>
      <c r="P389" s="955">
        <f>+許容応力!H14</f>
        <v>0</v>
      </c>
      <c r="Q389" s="955">
        <f>+許容応力!I14</f>
        <v>0</v>
      </c>
      <c r="R389" s="955">
        <f>+許容応力!J14</f>
        <v>0</v>
      </c>
      <c r="S389" s="1009">
        <f>+許容応力!K14</f>
        <v>0</v>
      </c>
    </row>
    <row r="390" spans="2:19" hidden="1" x14ac:dyDescent="0.15">
      <c r="B390" s="141" t="s">
        <v>49</v>
      </c>
      <c r="C390" s="960" t="s">
        <v>1384</v>
      </c>
      <c r="D390" s="961"/>
      <c r="G390" s="956">
        <v>10</v>
      </c>
      <c r="H390" s="928" t="s">
        <v>1385</v>
      </c>
      <c r="I390" s="928" t="s">
        <v>1373</v>
      </c>
      <c r="J390" s="957" t="s">
        <v>1374</v>
      </c>
      <c r="K390" s="955">
        <f>+許容応力!F15</f>
        <v>0</v>
      </c>
      <c r="L390" s="955"/>
      <c r="M390" s="955"/>
      <c r="N390" s="955"/>
      <c r="O390" s="955">
        <f>+許容応力!G15</f>
        <v>0</v>
      </c>
      <c r="P390" s="955">
        <f>+許容応力!H15</f>
        <v>0</v>
      </c>
      <c r="Q390" s="955">
        <f>+許容応力!I15</f>
        <v>0</v>
      </c>
      <c r="R390" s="955">
        <f>+許容応力!J15</f>
        <v>0</v>
      </c>
      <c r="S390" s="1009">
        <f>+許容応力!K15</f>
        <v>0</v>
      </c>
    </row>
    <row r="391" spans="2:19" hidden="1" x14ac:dyDescent="0.15">
      <c r="B391" s="141"/>
      <c r="C391" s="960" t="s">
        <v>1386</v>
      </c>
      <c r="D391" s="961"/>
      <c r="G391" s="956">
        <v>11</v>
      </c>
      <c r="H391" s="928" t="s">
        <v>33</v>
      </c>
      <c r="I391" s="928" t="s">
        <v>1373</v>
      </c>
      <c r="J391" s="957" t="s">
        <v>1374</v>
      </c>
      <c r="K391" s="955">
        <f>+許容応力!F16</f>
        <v>0</v>
      </c>
      <c r="L391" s="955"/>
      <c r="M391" s="955"/>
      <c r="N391" s="955"/>
      <c r="O391" s="955">
        <f>+許容応力!G16</f>
        <v>0</v>
      </c>
      <c r="P391" s="955">
        <f>+許容応力!H16</f>
        <v>0</v>
      </c>
      <c r="Q391" s="955">
        <f>+許容応力!I16</f>
        <v>0</v>
      </c>
      <c r="R391" s="955">
        <f>+許容応力!J16</f>
        <v>0</v>
      </c>
      <c r="S391" s="1009">
        <f>+許容応力!K16</f>
        <v>0</v>
      </c>
    </row>
    <row r="392" spans="2:19" hidden="1" x14ac:dyDescent="0.15">
      <c r="B392" s="141"/>
      <c r="C392" s="960" t="s">
        <v>1387</v>
      </c>
      <c r="D392" s="961"/>
      <c r="G392" s="956">
        <v>12</v>
      </c>
      <c r="H392" s="928" t="s">
        <v>34</v>
      </c>
      <c r="I392" s="928" t="s">
        <v>1373</v>
      </c>
      <c r="J392" s="957" t="s">
        <v>1374</v>
      </c>
      <c r="K392" s="955">
        <f>+許容応力!F17</f>
        <v>0</v>
      </c>
      <c r="L392" s="955"/>
      <c r="M392" s="955"/>
      <c r="N392" s="955"/>
      <c r="O392" s="955">
        <f>+許容応力!G17</f>
        <v>0</v>
      </c>
      <c r="P392" s="955">
        <f>+許容応力!H17</f>
        <v>0</v>
      </c>
      <c r="Q392" s="955">
        <f>+許容応力!I17</f>
        <v>0</v>
      </c>
      <c r="R392" s="955">
        <f>+許容応力!J17</f>
        <v>0</v>
      </c>
      <c r="S392" s="1009">
        <f>+許容応力!K17</f>
        <v>0</v>
      </c>
    </row>
    <row r="393" spans="2:19" hidden="1" x14ac:dyDescent="0.15">
      <c r="B393" s="141"/>
      <c r="C393" s="960" t="s">
        <v>1388</v>
      </c>
      <c r="D393" s="961"/>
      <c r="G393" s="956">
        <v>13</v>
      </c>
      <c r="H393" s="928" t="s">
        <v>35</v>
      </c>
      <c r="I393" s="928" t="s">
        <v>1373</v>
      </c>
      <c r="J393" s="957" t="s">
        <v>1374</v>
      </c>
      <c r="K393" s="955">
        <f>+許容応力!F18</f>
        <v>0</v>
      </c>
      <c r="L393" s="955"/>
      <c r="M393" s="955"/>
      <c r="N393" s="955"/>
      <c r="O393" s="955">
        <f>+許容応力!G18</f>
        <v>0</v>
      </c>
      <c r="P393" s="955">
        <f>+許容応力!H18</f>
        <v>0</v>
      </c>
      <c r="Q393" s="955">
        <f>+許容応力!I18</f>
        <v>0</v>
      </c>
      <c r="R393" s="955">
        <f>+許容応力!J18</f>
        <v>0</v>
      </c>
      <c r="S393" s="1009">
        <f>+許容応力!K18</f>
        <v>0</v>
      </c>
    </row>
    <row r="394" spans="2:19" hidden="1" x14ac:dyDescent="0.15">
      <c r="B394" s="141"/>
      <c r="C394" s="960" t="s">
        <v>1389</v>
      </c>
      <c r="D394" s="961"/>
      <c r="G394" s="956">
        <v>14</v>
      </c>
      <c r="H394" s="928" t="s">
        <v>36</v>
      </c>
      <c r="I394" s="928" t="s">
        <v>1373</v>
      </c>
      <c r="J394" s="957" t="s">
        <v>1374</v>
      </c>
      <c r="K394" s="955">
        <f>+許容応力!F19</f>
        <v>0</v>
      </c>
      <c r="L394" s="955"/>
      <c r="M394" s="955"/>
      <c r="N394" s="955"/>
      <c r="O394" s="955">
        <f>+許容応力!G19</f>
        <v>0</v>
      </c>
      <c r="P394" s="955">
        <f>+許容応力!H19</f>
        <v>0</v>
      </c>
      <c r="Q394" s="955">
        <f>+許容応力!I19</f>
        <v>0</v>
      </c>
      <c r="R394" s="955">
        <f>+許容応力!J19</f>
        <v>0</v>
      </c>
      <c r="S394" s="1009">
        <f>+許容応力!K19</f>
        <v>0</v>
      </c>
    </row>
    <row r="395" spans="2:19" hidden="1" x14ac:dyDescent="0.15">
      <c r="B395" s="136" t="s">
        <v>93</v>
      </c>
      <c r="C395" s="959" t="s">
        <v>1390</v>
      </c>
      <c r="D395" s="939"/>
      <c r="G395" s="956">
        <v>15</v>
      </c>
      <c r="H395" s="928" t="s">
        <v>37</v>
      </c>
      <c r="I395" s="928" t="s">
        <v>1373</v>
      </c>
      <c r="J395" s="957" t="s">
        <v>1374</v>
      </c>
      <c r="K395" s="955">
        <f>+許容応力!F20</f>
        <v>0</v>
      </c>
      <c r="L395" s="955"/>
      <c r="M395" s="955"/>
      <c r="N395" s="955"/>
      <c r="O395" s="955">
        <f>+許容応力!G20</f>
        <v>0</v>
      </c>
      <c r="P395" s="955">
        <f>+許容応力!H20</f>
        <v>0</v>
      </c>
      <c r="Q395" s="955">
        <f>+許容応力!I20</f>
        <v>0</v>
      </c>
      <c r="R395" s="955">
        <f>+許容応力!J20</f>
        <v>0</v>
      </c>
      <c r="S395" s="1009">
        <f>+許容応力!K20</f>
        <v>0</v>
      </c>
    </row>
    <row r="396" spans="2:19" hidden="1" x14ac:dyDescent="0.15">
      <c r="B396" s="70"/>
      <c r="C396" s="938" t="s">
        <v>1391</v>
      </c>
      <c r="D396" s="939"/>
      <c r="G396" s="956">
        <v>16</v>
      </c>
      <c r="H396" s="928" t="s">
        <v>38</v>
      </c>
      <c r="I396" s="928" t="s">
        <v>1373</v>
      </c>
      <c r="J396" s="957" t="s">
        <v>1374</v>
      </c>
      <c r="K396" s="955">
        <f>+許容応力!F21</f>
        <v>0</v>
      </c>
      <c r="L396" s="955"/>
      <c r="M396" s="955"/>
      <c r="N396" s="955"/>
      <c r="O396" s="955">
        <f>+許容応力!G21</f>
        <v>0</v>
      </c>
      <c r="P396" s="955">
        <f>+許容応力!H21</f>
        <v>0</v>
      </c>
      <c r="Q396" s="955">
        <f>+許容応力!I21</f>
        <v>0</v>
      </c>
      <c r="R396" s="955">
        <f>+許容応力!J21</f>
        <v>0</v>
      </c>
      <c r="S396" s="1009">
        <f>+許容応力!K21</f>
        <v>0</v>
      </c>
    </row>
    <row r="397" spans="2:19" ht="15" hidden="1" thickBot="1" x14ac:dyDescent="0.2">
      <c r="B397" s="70"/>
      <c r="C397" s="938" t="s">
        <v>1392</v>
      </c>
      <c r="D397" s="939"/>
      <c r="G397" s="962">
        <v>17</v>
      </c>
      <c r="H397" s="963" t="s">
        <v>1393</v>
      </c>
      <c r="I397" s="963" t="s">
        <v>1373</v>
      </c>
      <c r="J397" s="964" t="s">
        <v>1374</v>
      </c>
      <c r="K397" s="955">
        <f>+許容応力!F22</f>
        <v>0</v>
      </c>
      <c r="L397" s="955"/>
      <c r="M397" s="955"/>
      <c r="N397" s="955"/>
      <c r="O397" s="955">
        <f>+許容応力!G22</f>
        <v>0</v>
      </c>
      <c r="P397" s="955">
        <f>+許容応力!H22</f>
        <v>0</v>
      </c>
      <c r="Q397" s="955">
        <f>+許容応力!I22</f>
        <v>0</v>
      </c>
      <c r="R397" s="955">
        <f>+許容応力!J22</f>
        <v>0</v>
      </c>
      <c r="S397" s="1009">
        <f>+許容応力!K22</f>
        <v>0</v>
      </c>
    </row>
    <row r="398" spans="2:19" hidden="1" x14ac:dyDescent="0.15">
      <c r="B398" s="70"/>
      <c r="C398" s="938" t="s">
        <v>1394</v>
      </c>
      <c r="D398" s="939"/>
      <c r="Q398" s="937"/>
    </row>
    <row r="399" spans="2:19" hidden="1" x14ac:dyDescent="0.15">
      <c r="B399" s="70"/>
      <c r="C399" s="938" t="s">
        <v>1395</v>
      </c>
      <c r="D399" s="939"/>
      <c r="G399" s="60" t="str">
        <f>+""</f>
        <v/>
      </c>
      <c r="Q399" s="937"/>
    </row>
    <row r="400" spans="2:19" hidden="1" x14ac:dyDescent="0.15">
      <c r="B400" s="70"/>
      <c r="C400" s="938" t="s">
        <v>1396</v>
      </c>
      <c r="D400" s="939"/>
      <c r="G400" s="953" t="s">
        <v>1300</v>
      </c>
      <c r="Q400" s="937"/>
    </row>
    <row r="401" spans="2:18" hidden="1" x14ac:dyDescent="0.15">
      <c r="B401" s="70"/>
      <c r="C401" s="938" t="s">
        <v>1397</v>
      </c>
      <c r="D401" s="939"/>
      <c r="G401" s="928" t="s">
        <v>1301</v>
      </c>
      <c r="Q401" s="937"/>
    </row>
    <row r="402" spans="2:18" hidden="1" x14ac:dyDescent="0.15">
      <c r="B402" s="136" t="s">
        <v>94</v>
      </c>
      <c r="C402" s="938" t="s">
        <v>1398</v>
      </c>
      <c r="D402" s="939"/>
      <c r="G402" s="928" t="s">
        <v>1399</v>
      </c>
      <c r="Q402" s="937"/>
    </row>
    <row r="403" spans="2:18" hidden="1" x14ac:dyDescent="0.15">
      <c r="B403" s="136"/>
      <c r="C403" s="938" t="s">
        <v>1400</v>
      </c>
      <c r="D403" s="939"/>
      <c r="G403" s="928" t="s">
        <v>1401</v>
      </c>
    </row>
    <row r="404" spans="2:18" hidden="1" x14ac:dyDescent="0.15">
      <c r="B404" s="136"/>
      <c r="C404" s="965" t="s">
        <v>1402</v>
      </c>
      <c r="D404" s="939"/>
      <c r="G404" s="928" t="s">
        <v>1403</v>
      </c>
      <c r="J404" s="935"/>
      <c r="K404" s="936"/>
      <c r="L404" s="936"/>
      <c r="M404" s="936"/>
      <c r="N404" s="936"/>
      <c r="O404" s="412"/>
      <c r="P404" s="412"/>
      <c r="Q404" s="412"/>
      <c r="R404" s="412"/>
    </row>
    <row r="405" spans="2:18" hidden="1" x14ac:dyDescent="0.15">
      <c r="B405" s="136" t="s">
        <v>98</v>
      </c>
      <c r="C405" s="959" t="s">
        <v>1404</v>
      </c>
      <c r="D405" s="8"/>
      <c r="G405" s="928" t="s">
        <v>1405</v>
      </c>
      <c r="H405" s="937"/>
    </row>
    <row r="406" spans="2:18" hidden="1" x14ac:dyDescent="0.15">
      <c r="B406" s="8"/>
      <c r="C406" s="959" t="s">
        <v>1406</v>
      </c>
      <c r="D406" s="945"/>
      <c r="G406" s="928" t="s">
        <v>1407</v>
      </c>
      <c r="H406" s="937"/>
      <c r="K406" s="937"/>
      <c r="L406" s="937"/>
      <c r="M406" s="937"/>
      <c r="N406" s="937"/>
      <c r="Q406" s="937"/>
    </row>
    <row r="407" spans="2:18" hidden="1" x14ac:dyDescent="0.15">
      <c r="B407" s="8"/>
      <c r="C407" s="959" t="s">
        <v>1408</v>
      </c>
      <c r="D407" s="945"/>
      <c r="G407" s="928" t="s">
        <v>1409</v>
      </c>
      <c r="H407" s="937"/>
      <c r="Q407" s="937"/>
    </row>
    <row r="408" spans="2:18" hidden="1" x14ac:dyDescent="0.15">
      <c r="B408" s="8"/>
      <c r="C408" s="959" t="s">
        <v>1410</v>
      </c>
      <c r="D408" s="945"/>
      <c r="G408" s="928" t="s">
        <v>1411</v>
      </c>
      <c r="Q408" s="937"/>
    </row>
    <row r="409" spans="2:18" hidden="1" x14ac:dyDescent="0.15">
      <c r="B409" s="8"/>
      <c r="C409" s="959" t="s">
        <v>1412</v>
      </c>
      <c r="D409" s="945"/>
      <c r="G409" s="928" t="s">
        <v>1413</v>
      </c>
      <c r="Q409" s="937"/>
    </row>
    <row r="410" spans="2:18" hidden="1" x14ac:dyDescent="0.15">
      <c r="B410" s="8"/>
      <c r="C410" s="959" t="s">
        <v>1414</v>
      </c>
      <c r="D410" s="945"/>
      <c r="G410" s="928" t="s">
        <v>1415</v>
      </c>
      <c r="Q410" s="937"/>
    </row>
    <row r="411" spans="2:18" hidden="1" x14ac:dyDescent="0.15">
      <c r="B411" s="8"/>
      <c r="C411" s="959" t="s">
        <v>1416</v>
      </c>
      <c r="D411" s="945"/>
      <c r="G411" s="928" t="s">
        <v>1417</v>
      </c>
      <c r="Q411" s="937"/>
    </row>
    <row r="412" spans="2:18" hidden="1" x14ac:dyDescent="0.15">
      <c r="B412" s="8"/>
      <c r="C412" s="959" t="s">
        <v>1418</v>
      </c>
      <c r="D412" s="945"/>
      <c r="G412" s="928" t="s">
        <v>1419</v>
      </c>
      <c r="Q412" s="937"/>
    </row>
    <row r="413" spans="2:18" hidden="1" x14ac:dyDescent="0.15">
      <c r="B413" s="8"/>
      <c r="C413" s="959" t="s">
        <v>1420</v>
      </c>
      <c r="D413" s="945"/>
      <c r="G413" s="928" t="s">
        <v>1421</v>
      </c>
    </row>
    <row r="414" spans="2:18" hidden="1" x14ac:dyDescent="0.15">
      <c r="B414" s="8"/>
      <c r="C414" s="959" t="s">
        <v>1422</v>
      </c>
      <c r="D414" s="945"/>
      <c r="G414" s="928" t="s">
        <v>1423</v>
      </c>
      <c r="J414" s="935"/>
      <c r="K414" s="936"/>
      <c r="L414" s="936"/>
      <c r="M414" s="936"/>
      <c r="N414" s="936"/>
      <c r="O414" s="412"/>
      <c r="P414" s="412"/>
      <c r="Q414" s="412"/>
      <c r="R414" s="412"/>
    </row>
    <row r="415" spans="2:18" hidden="1" x14ac:dyDescent="0.15">
      <c r="B415" s="8"/>
      <c r="C415" s="945" t="s">
        <v>1424</v>
      </c>
      <c r="D415" s="945"/>
      <c r="G415" s="928" t="s">
        <v>1425</v>
      </c>
      <c r="H415" s="937"/>
    </row>
    <row r="416" spans="2:18" ht="15" hidden="1" thickBot="1" x14ac:dyDescent="0.2">
      <c r="B416" s="136" t="s">
        <v>109</v>
      </c>
      <c r="C416" s="959" t="s">
        <v>1426</v>
      </c>
      <c r="D416" s="8"/>
      <c r="G416" s="963" t="s">
        <v>1427</v>
      </c>
      <c r="H416" s="937"/>
      <c r="K416" s="937"/>
      <c r="L416" s="937"/>
      <c r="M416" s="937"/>
      <c r="N416" s="937"/>
      <c r="Q416" s="937"/>
    </row>
    <row r="417" spans="2:18" hidden="1" x14ac:dyDescent="0.15">
      <c r="B417" s="8"/>
      <c r="C417" s="959" t="s">
        <v>1428</v>
      </c>
      <c r="D417" s="945"/>
      <c r="G417" s="936"/>
      <c r="H417" s="937"/>
      <c r="Q417" s="937"/>
    </row>
    <row r="418" spans="2:18" hidden="1" x14ac:dyDescent="0.15">
      <c r="B418" s="8"/>
      <c r="C418" s="959" t="s">
        <v>1429</v>
      </c>
      <c r="D418" s="945"/>
      <c r="Q418" s="937"/>
    </row>
    <row r="419" spans="2:18" hidden="1" x14ac:dyDescent="0.15">
      <c r="B419" s="8"/>
      <c r="C419" s="959" t="s">
        <v>1430</v>
      </c>
      <c r="D419" s="945"/>
      <c r="Q419" s="937"/>
    </row>
    <row r="420" spans="2:18" hidden="1" x14ac:dyDescent="0.15">
      <c r="B420" s="8"/>
      <c r="C420" s="959" t="s">
        <v>1431</v>
      </c>
      <c r="D420" s="945"/>
      <c r="Q420" s="937"/>
    </row>
    <row r="421" spans="2:18" hidden="1" x14ac:dyDescent="0.15">
      <c r="B421" s="8"/>
      <c r="C421" s="959" t="s">
        <v>1432</v>
      </c>
      <c r="D421" s="945"/>
      <c r="Q421" s="937"/>
    </row>
    <row r="422" spans="2:18" hidden="1" x14ac:dyDescent="0.15">
      <c r="B422" s="8"/>
      <c r="C422" s="959" t="s">
        <v>1433</v>
      </c>
      <c r="D422" s="945"/>
      <c r="Q422" s="937"/>
    </row>
    <row r="423" spans="2:18" hidden="1" x14ac:dyDescent="0.15">
      <c r="B423" s="8"/>
      <c r="C423" s="959" t="s">
        <v>1434</v>
      </c>
      <c r="D423" s="945"/>
    </row>
    <row r="424" spans="2:18" hidden="1" x14ac:dyDescent="0.15">
      <c r="B424" s="8"/>
      <c r="C424" s="959" t="s">
        <v>1435</v>
      </c>
      <c r="D424" s="945"/>
      <c r="J424" s="935"/>
      <c r="K424" s="936"/>
      <c r="L424" s="936"/>
      <c r="M424" s="936"/>
      <c r="N424" s="936"/>
      <c r="O424" s="412"/>
      <c r="P424" s="412"/>
      <c r="Q424" s="412"/>
      <c r="R424" s="412"/>
    </row>
    <row r="425" spans="2:18" hidden="1" x14ac:dyDescent="0.15">
      <c r="B425" s="8"/>
      <c r="C425" s="959" t="s">
        <v>1436</v>
      </c>
      <c r="D425" s="945"/>
      <c r="G425" s="936"/>
      <c r="H425" s="937"/>
    </row>
    <row r="426" spans="2:18" hidden="1" x14ac:dyDescent="0.15">
      <c r="B426" s="8"/>
      <c r="C426" s="959" t="s">
        <v>1437</v>
      </c>
      <c r="D426" s="945"/>
      <c r="G426" s="936"/>
      <c r="H426" s="937"/>
      <c r="K426" s="937"/>
      <c r="L426" s="937"/>
      <c r="M426" s="937"/>
      <c r="N426" s="937"/>
      <c r="Q426" s="937"/>
    </row>
    <row r="427" spans="2:18" hidden="1" x14ac:dyDescent="0.15">
      <c r="B427" s="8"/>
      <c r="C427" s="959" t="s">
        <v>1438</v>
      </c>
      <c r="D427" s="8"/>
      <c r="G427" s="936"/>
      <c r="H427" s="937"/>
      <c r="Q427" s="937"/>
    </row>
    <row r="428" spans="2:18" hidden="1" x14ac:dyDescent="0.15">
      <c r="B428" s="8"/>
      <c r="C428" s="959" t="s">
        <v>1439</v>
      </c>
      <c r="D428" s="945"/>
      <c r="Q428" s="937"/>
    </row>
    <row r="429" spans="2:18" hidden="1" x14ac:dyDescent="0.15">
      <c r="B429" s="8"/>
      <c r="C429" s="959" t="s">
        <v>1440</v>
      </c>
      <c r="D429" s="945"/>
      <c r="Q429" s="937"/>
    </row>
    <row r="430" spans="2:18" hidden="1" x14ac:dyDescent="0.15">
      <c r="B430" s="8"/>
      <c r="C430" s="959" t="s">
        <v>1441</v>
      </c>
      <c r="D430" s="945"/>
      <c r="Q430" s="937"/>
    </row>
    <row r="431" spans="2:18" hidden="1" x14ac:dyDescent="0.15">
      <c r="B431" s="8"/>
      <c r="C431" s="959" t="s">
        <v>1442</v>
      </c>
      <c r="D431" s="945"/>
      <c r="Q431" s="937"/>
    </row>
    <row r="432" spans="2:18" hidden="1" x14ac:dyDescent="0.15">
      <c r="B432" s="8"/>
      <c r="C432" s="959" t="s">
        <v>1443</v>
      </c>
      <c r="D432" s="945"/>
      <c r="Q432" s="937"/>
    </row>
    <row r="433" spans="2:17" hidden="1" x14ac:dyDescent="0.15">
      <c r="B433" s="8"/>
      <c r="C433" s="959" t="s">
        <v>1444</v>
      </c>
      <c r="D433" s="945"/>
    </row>
    <row r="434" spans="2:17" hidden="1" x14ac:dyDescent="0.15">
      <c r="B434" s="8"/>
      <c r="C434" s="959" t="s">
        <v>1445</v>
      </c>
      <c r="D434" s="945"/>
    </row>
    <row r="435" spans="2:17" hidden="1" x14ac:dyDescent="0.15">
      <c r="B435" s="8"/>
      <c r="C435" s="959" t="s">
        <v>1446</v>
      </c>
      <c r="D435" s="945"/>
    </row>
    <row r="436" spans="2:17" hidden="1" x14ac:dyDescent="0.15">
      <c r="B436" s="8"/>
      <c r="C436" s="959" t="s">
        <v>1447</v>
      </c>
      <c r="D436" s="945"/>
    </row>
    <row r="437" spans="2:17" hidden="1" x14ac:dyDescent="0.15">
      <c r="B437" s="8"/>
      <c r="C437" s="959" t="s">
        <v>1448</v>
      </c>
      <c r="D437" s="945"/>
    </row>
    <row r="438" spans="2:17" hidden="1" x14ac:dyDescent="0.15">
      <c r="E438" s="60" t="str">
        <f>+""</f>
        <v/>
      </c>
    </row>
    <row r="439" spans="2:17" hidden="1" x14ac:dyDescent="0.15">
      <c r="B439" s="60">
        <v>1</v>
      </c>
      <c r="C439" s="639">
        <v>979</v>
      </c>
      <c r="D439" s="639">
        <v>814</v>
      </c>
      <c r="E439" s="60" t="s">
        <v>1335</v>
      </c>
    </row>
    <row r="440" spans="2:17" hidden="1" x14ac:dyDescent="0.15">
      <c r="B440" s="60">
        <v>2</v>
      </c>
      <c r="C440" s="639">
        <v>77</v>
      </c>
      <c r="D440" s="639">
        <v>66</v>
      </c>
      <c r="E440" s="60" t="s">
        <v>1325</v>
      </c>
    </row>
    <row r="441" spans="2:17" hidden="1" x14ac:dyDescent="0.15">
      <c r="B441" s="60">
        <v>3</v>
      </c>
      <c r="C441" s="639">
        <v>882000</v>
      </c>
      <c r="D441" s="639">
        <v>686000</v>
      </c>
    </row>
    <row r="442" spans="2:17" hidden="1" x14ac:dyDescent="0.15">
      <c r="B442" s="30">
        <v>4</v>
      </c>
      <c r="C442" s="639">
        <v>550</v>
      </c>
      <c r="D442" s="966">
        <v>450</v>
      </c>
      <c r="E442" s="933">
        <f>+VALUE(RIGHT(E5,3))+1</f>
        <v>2</v>
      </c>
      <c r="F442" s="933">
        <f>+VALUE(RIGHT(F5,3))+1</f>
        <v>2</v>
      </c>
      <c r="G442" s="933">
        <f>+VALUE(RIGHT(I5,3))+1</f>
        <v>2</v>
      </c>
      <c r="H442" s="933" t="e">
        <f>+VALUE(RIGHT(H5,3))+1</f>
        <v>#VALUE!</v>
      </c>
      <c r="I442" s="933" t="e">
        <f>+VALUE(RIGHT(#REF!,3))+1</f>
        <v>#REF!</v>
      </c>
      <c r="J442" s="933" t="e">
        <f>+VALUE(RIGHT(J5,3))+1</f>
        <v>#VALUE!</v>
      </c>
    </row>
    <row r="443" spans="2:17" hidden="1" x14ac:dyDescent="0.15">
      <c r="B443" s="30">
        <v>5</v>
      </c>
      <c r="C443" s="639">
        <v>700</v>
      </c>
      <c r="D443" s="639">
        <v>600</v>
      </c>
    </row>
    <row r="444" spans="2:17" hidden="1" x14ac:dyDescent="0.15"/>
    <row r="445" spans="2:17" hidden="1" x14ac:dyDescent="0.15"/>
    <row r="446" spans="2:17" hidden="1" x14ac:dyDescent="0.15">
      <c r="C446" s="60" t="str">
        <f>+""</f>
        <v/>
      </c>
      <c r="G446" s="60" t="str">
        <f>+""</f>
        <v/>
      </c>
    </row>
    <row r="447" spans="2:17" hidden="1" x14ac:dyDescent="0.15">
      <c r="C447" s="60" t="s">
        <v>1323</v>
      </c>
      <c r="E447" s="967"/>
      <c r="G447" s="960" t="s">
        <v>1449</v>
      </c>
    </row>
    <row r="448" spans="2:17" hidden="1" x14ac:dyDescent="0.15">
      <c r="C448" s="60" t="s">
        <v>1324</v>
      </c>
      <c r="E448" s="936"/>
      <c r="G448" s="960" t="s">
        <v>1450</v>
      </c>
      <c r="K448" s="60">
        <v>1</v>
      </c>
      <c r="O448" s="60" t="s">
        <v>1451</v>
      </c>
      <c r="Q448" s="60">
        <v>7</v>
      </c>
    </row>
    <row r="449" spans="2:17" hidden="1" x14ac:dyDescent="0.15">
      <c r="B449" s="60" t="s">
        <v>1452</v>
      </c>
      <c r="C449" s="60" t="str">
        <f>+""</f>
        <v/>
      </c>
      <c r="K449" s="60">
        <v>3</v>
      </c>
      <c r="O449" s="60" t="s">
        <v>1453</v>
      </c>
      <c r="Q449" s="60">
        <v>1</v>
      </c>
    </row>
    <row r="450" spans="2:17" hidden="1" x14ac:dyDescent="0.15">
      <c r="B450" s="935" t="s">
        <v>1454</v>
      </c>
      <c r="C450" s="933" t="e">
        <f>IF(#REF!=+"",0,+VALUE(RIGHT(#REF!,3))+1)</f>
        <v>#REF!</v>
      </c>
      <c r="D450" s="933" t="e">
        <f>IF(#REF!=+"",0,+VALUE(RIGHT(#REF!,3))+1)</f>
        <v>#REF!</v>
      </c>
      <c r="E450" s="933" t="e">
        <f>IF(#REF!=+"",0,+VALUE(RIGHT(#REF!,3))+1)</f>
        <v>#REF!</v>
      </c>
      <c r="F450" s="933" t="e">
        <f>IF(#REF!=+"",0,+VALUE(RIGHT(#REF!,3))+1)</f>
        <v>#REF!</v>
      </c>
      <c r="G450" s="933" t="e">
        <f>IF(#REF!=+"",0,+VALUE(RIGHT(#REF!,3))+1)</f>
        <v>#REF!</v>
      </c>
      <c r="H450" s="933" t="e">
        <f>IF(#REF!=+"",0,+VALUE(RIGHT(#REF!,3))+1)</f>
        <v>#REF!</v>
      </c>
      <c r="K450" s="60">
        <v>5</v>
      </c>
      <c r="O450" s="60" t="s">
        <v>1455</v>
      </c>
      <c r="Q450" s="60">
        <v>2</v>
      </c>
    </row>
    <row r="451" spans="2:17" hidden="1" x14ac:dyDescent="0.15">
      <c r="C451" s="933" t="e">
        <f>IF(#REF!=+"",0,+VALUE(RIGHT(#REF!,3))+1)</f>
        <v>#REF!</v>
      </c>
      <c r="D451" s="933" t="e">
        <f>IF(#REF!=+"",0,+VALUE(RIGHT(#REF!,3))+1)</f>
        <v>#REF!</v>
      </c>
      <c r="E451" s="933" t="e">
        <f>IF(#REF!=+"",0,+VALUE(RIGHT(#REF!,3))+1)</f>
        <v>#REF!</v>
      </c>
      <c r="F451" s="933" t="e">
        <f>IF(#REF!=+"",0,+VALUE(RIGHT(#REF!,3))+1)</f>
        <v>#REF!</v>
      </c>
      <c r="G451" s="933" t="e">
        <f>IF(#REF!=+"",0,+VALUE(RIGHT(#REF!,3))+1)</f>
        <v>#REF!</v>
      </c>
      <c r="H451" s="933" t="e">
        <f>IF(#REF!=+"",0,+VALUE(RIGHT(#REF!,3))+1)</f>
        <v>#REF!</v>
      </c>
      <c r="K451" s="60">
        <v>7</v>
      </c>
      <c r="O451" s="60" t="s">
        <v>1456</v>
      </c>
      <c r="Q451" s="60">
        <v>3</v>
      </c>
    </row>
    <row r="452" spans="2:17" hidden="1" x14ac:dyDescent="0.15">
      <c r="B452" s="60" t="s">
        <v>1457</v>
      </c>
      <c r="K452" s="60">
        <v>9</v>
      </c>
      <c r="O452" s="60" t="s">
        <v>1458</v>
      </c>
      <c r="Q452" s="60">
        <v>4</v>
      </c>
    </row>
    <row r="453" spans="2:17" hidden="1" x14ac:dyDescent="0.15">
      <c r="B453" s="935" t="s">
        <v>1454</v>
      </c>
      <c r="C453" s="933">
        <f t="shared" ref="C453:H453" si="111">IF(E28=+"",0,+VALUE(RIGHT(E28,3))+1)</f>
        <v>1</v>
      </c>
      <c r="D453" s="933">
        <f t="shared" si="111"/>
        <v>1</v>
      </c>
      <c r="E453" s="933">
        <f t="shared" si="111"/>
        <v>1</v>
      </c>
      <c r="F453" s="933">
        <f t="shared" si="111"/>
        <v>1</v>
      </c>
      <c r="G453" s="933">
        <f t="shared" si="111"/>
        <v>1</v>
      </c>
      <c r="H453" s="933">
        <f t="shared" si="111"/>
        <v>1</v>
      </c>
      <c r="K453" s="60">
        <v>11</v>
      </c>
      <c r="O453" s="60" t="s">
        <v>1459</v>
      </c>
      <c r="Q453" s="60">
        <v>5</v>
      </c>
    </row>
    <row r="454" spans="2:17" hidden="1" x14ac:dyDescent="0.15">
      <c r="C454" s="60" t="str">
        <f>+""</f>
        <v/>
      </c>
      <c r="K454" s="60">
        <v>13</v>
      </c>
      <c r="O454" s="60" t="s">
        <v>1460</v>
      </c>
      <c r="Q454" s="60">
        <v>6</v>
      </c>
    </row>
    <row r="455" spans="2:17" hidden="1" x14ac:dyDescent="0.15">
      <c r="C455" s="60" t="s">
        <v>1339</v>
      </c>
      <c r="D455" s="1067" t="s">
        <v>1461</v>
      </c>
      <c r="E455" s="933">
        <f>IF(E39=+"",0,+VALUE(RIGHT(E39,3)))</f>
        <v>1</v>
      </c>
      <c r="F455" s="933">
        <f>IF(F39=+"",0,+VALUE(RIGHT(F39,3)))</f>
        <v>0</v>
      </c>
      <c r="G455" s="933">
        <f>IF(G39=+"",0,+VALUE(RIGHT(G39,3)))</f>
        <v>0</v>
      </c>
      <c r="H455" s="933">
        <f>IF(H39=+"",0,+VALUE(RIGHT(H39,3)))</f>
        <v>0</v>
      </c>
      <c r="I455" s="933">
        <f>IF(I39=+"",0,+VALUE(RIGHT(I39,3)))</f>
        <v>0</v>
      </c>
      <c r="J455" s="933">
        <f t="shared" ref="J455:O455" si="112">IF(J39=+"",0,+VALUE(RIGHT(J39,3)))</f>
        <v>0</v>
      </c>
      <c r="K455" s="933">
        <f t="shared" si="112"/>
        <v>1</v>
      </c>
      <c r="L455" s="933">
        <f t="shared" si="112"/>
        <v>0</v>
      </c>
      <c r="M455" s="933">
        <f t="shared" si="112"/>
        <v>0</v>
      </c>
      <c r="N455" s="933">
        <f t="shared" si="112"/>
        <v>0</v>
      </c>
      <c r="O455" s="933">
        <f t="shared" si="112"/>
        <v>0</v>
      </c>
    </row>
    <row r="456" spans="2:17" hidden="1" x14ac:dyDescent="0.15">
      <c r="C456" s="60" t="s">
        <v>1462</v>
      </c>
      <c r="D456" s="1068" t="s">
        <v>1463</v>
      </c>
      <c r="E456" s="933">
        <f>IF(E455=0,0,IF(E455=1,2,3))</f>
        <v>2</v>
      </c>
      <c r="F456" s="933">
        <f>IF(F455=0,0,IF(F455=1,2,3))</f>
        <v>0</v>
      </c>
      <c r="G456" s="933">
        <f>IF(G455=0,0,IF(G455=1,2,3))</f>
        <v>0</v>
      </c>
      <c r="H456" s="933">
        <f>IF(H455=0,0,IF(H455=1,2,3))</f>
        <v>0</v>
      </c>
      <c r="I456" s="933">
        <f>IF(I455=0,0,IF(I455=1,2,3))</f>
        <v>0</v>
      </c>
      <c r="J456" s="933">
        <f t="shared" ref="J456:O456" si="113">IF(J455=0,0,IF(J455=1,2,3))</f>
        <v>0</v>
      </c>
      <c r="K456" s="933">
        <f t="shared" si="113"/>
        <v>2</v>
      </c>
      <c r="L456" s="933">
        <f t="shared" si="113"/>
        <v>0</v>
      </c>
      <c r="M456" s="933">
        <f t="shared" si="113"/>
        <v>0</v>
      </c>
      <c r="N456" s="933">
        <f t="shared" si="113"/>
        <v>0</v>
      </c>
      <c r="O456" s="933">
        <f t="shared" si="113"/>
        <v>0</v>
      </c>
    </row>
    <row r="457" spans="2:17" hidden="1" x14ac:dyDescent="0.15">
      <c r="D457" s="1068" t="s">
        <v>1464</v>
      </c>
      <c r="E457" s="933">
        <f>IF(E456=0,0,IF(E456=2,0.7,0.55))</f>
        <v>0.7</v>
      </c>
      <c r="F457" s="933">
        <f>IF(F456=0,0,IF(F456=2,0.7,0.55))</f>
        <v>0</v>
      </c>
      <c r="G457" s="933">
        <f>IF(G456=0,0,IF(G456=2,0.7,0.55))</f>
        <v>0</v>
      </c>
      <c r="H457" s="933">
        <f>IF(H456=0,0,IF(H456=2,0.7,0.55))</f>
        <v>0</v>
      </c>
      <c r="I457" s="933">
        <f>IF(I456=0,0,IF(I456=2,0.7,0.55))</f>
        <v>0</v>
      </c>
      <c r="J457" s="933">
        <f t="shared" ref="J457:O457" si="114">IF(J456=0,0,IF(J456=2,0.7,0.55))</f>
        <v>0</v>
      </c>
      <c r="K457" s="933">
        <f t="shared" si="114"/>
        <v>0.7</v>
      </c>
      <c r="L457" s="933">
        <f t="shared" si="114"/>
        <v>0</v>
      </c>
      <c r="M457" s="933">
        <f t="shared" si="114"/>
        <v>0</v>
      </c>
      <c r="N457" s="933">
        <f t="shared" si="114"/>
        <v>0</v>
      </c>
      <c r="O457" s="933">
        <f t="shared" si="114"/>
        <v>0</v>
      </c>
    </row>
    <row r="458" spans="2:17" hidden="1" x14ac:dyDescent="0.15">
      <c r="D458" s="1069" t="s">
        <v>1465</v>
      </c>
      <c r="E458" s="933">
        <f>IF(E456=0,0,IF(E456=2,0.75,0.6))</f>
        <v>0.75</v>
      </c>
      <c r="F458" s="933">
        <f>IF(F456=0,0,IF(F456=2,0.75,0.6))</f>
        <v>0</v>
      </c>
      <c r="G458" s="933">
        <f>IF(G456=0,0,IF(G456=2,0.75,0.6))</f>
        <v>0</v>
      </c>
      <c r="H458" s="933">
        <f>IF(H456=0,0,IF(H456=2,0.75,0.6))</f>
        <v>0</v>
      </c>
      <c r="I458" s="933">
        <f>IF(I456=0,0,IF(I456=2,0.75,0.6))</f>
        <v>0</v>
      </c>
      <c r="J458" s="933">
        <f t="shared" ref="J458:O458" si="115">IF(J456=0,0,IF(J456=2,0.75,0.6))</f>
        <v>0</v>
      </c>
      <c r="K458" s="933">
        <f t="shared" si="115"/>
        <v>0.75</v>
      </c>
      <c r="L458" s="933">
        <f t="shared" si="115"/>
        <v>0</v>
      </c>
      <c r="M458" s="933">
        <f t="shared" si="115"/>
        <v>0</v>
      </c>
      <c r="N458" s="933">
        <f t="shared" si="115"/>
        <v>0</v>
      </c>
      <c r="O458" s="933">
        <f t="shared" si="115"/>
        <v>0</v>
      </c>
    </row>
    <row r="459" spans="2:17" hidden="1" x14ac:dyDescent="0.15">
      <c r="D459" s="1067" t="s">
        <v>1461</v>
      </c>
      <c r="E459" s="933">
        <f>IF(E64=+"",0,+VALUE(RIGHT(E64,3)))</f>
        <v>1</v>
      </c>
      <c r="F459" s="933">
        <f t="shared" ref="F459:O459" si="116">IF(F64=+"",0,+VALUE(RIGHT(F64,3)))</f>
        <v>0</v>
      </c>
      <c r="G459" s="933">
        <f t="shared" si="116"/>
        <v>0</v>
      </c>
      <c r="H459" s="933">
        <f t="shared" si="116"/>
        <v>0</v>
      </c>
      <c r="I459" s="933">
        <f t="shared" si="116"/>
        <v>0</v>
      </c>
      <c r="J459" s="933">
        <f t="shared" si="116"/>
        <v>0</v>
      </c>
      <c r="K459" s="933">
        <f t="shared" si="116"/>
        <v>0</v>
      </c>
      <c r="L459" s="933">
        <f t="shared" si="116"/>
        <v>0</v>
      </c>
      <c r="M459" s="933">
        <f t="shared" si="116"/>
        <v>0</v>
      </c>
      <c r="N459" s="933">
        <f t="shared" si="116"/>
        <v>0</v>
      </c>
      <c r="O459" s="933">
        <f t="shared" si="116"/>
        <v>0</v>
      </c>
    </row>
    <row r="460" spans="2:17" hidden="1" x14ac:dyDescent="0.15">
      <c r="D460" s="1068" t="s">
        <v>1463</v>
      </c>
      <c r="E460" s="933">
        <f>IF(E459=0,0,IF(E459=1,2,3))</f>
        <v>2</v>
      </c>
      <c r="F460" s="933">
        <f>IF(F459=0,0,IF(F459=1,2,3))</f>
        <v>0</v>
      </c>
      <c r="G460" s="933">
        <f>IF(G459=0,0,IF(G459=1,2,3))</f>
        <v>0</v>
      </c>
      <c r="H460" s="933">
        <f>IF(H459=0,0,IF(H459=1,2,3))</f>
        <v>0</v>
      </c>
      <c r="I460" s="933">
        <f>IF(I459=0,0,IF(I459=1,2,3))</f>
        <v>0</v>
      </c>
      <c r="J460" s="933">
        <f t="shared" ref="J460" si="117">IF(J459=0,0,IF(J459=1,2,3))</f>
        <v>0</v>
      </c>
      <c r="K460" s="933">
        <f t="shared" ref="K460" si="118">IF(K459=0,0,IF(K459=1,2,3))</f>
        <v>0</v>
      </c>
      <c r="L460" s="933">
        <f t="shared" ref="L460" si="119">IF(L459=0,0,IF(L459=1,2,3))</f>
        <v>0</v>
      </c>
      <c r="M460" s="933">
        <f t="shared" ref="M460" si="120">IF(M459=0,0,IF(M459=1,2,3))</f>
        <v>0</v>
      </c>
      <c r="N460" s="933">
        <f t="shared" ref="N460" si="121">IF(N459=0,0,IF(N459=1,2,3))</f>
        <v>0</v>
      </c>
      <c r="O460" s="933">
        <f t="shared" ref="O460" si="122">IF(O459=0,0,IF(O459=1,2,3))</f>
        <v>0</v>
      </c>
    </row>
    <row r="461" spans="2:17" hidden="1" x14ac:dyDescent="0.15">
      <c r="D461" s="1068" t="s">
        <v>1464</v>
      </c>
      <c r="E461" s="933">
        <f>IF(E460=0,0,IF(E460=2,0.7,0.55))</f>
        <v>0.7</v>
      </c>
      <c r="F461" s="933">
        <f>IF(F460=0,0,IF(F460=2,0.7,0.55))</f>
        <v>0</v>
      </c>
      <c r="G461" s="933">
        <f>IF(G460=0,0,IF(G460=2,0.7,0.55))</f>
        <v>0</v>
      </c>
      <c r="H461" s="933">
        <f>IF(H460=0,0,IF(H460=2,0.7,0.55))</f>
        <v>0</v>
      </c>
      <c r="I461" s="933">
        <f>IF(I460=0,0,IF(I460=2,0.7,0.55))</f>
        <v>0</v>
      </c>
      <c r="J461" s="933">
        <f t="shared" ref="J461" si="123">IF(J460=0,0,IF(J460=2,0.7,0.55))</f>
        <v>0</v>
      </c>
      <c r="K461" s="933">
        <f t="shared" ref="K461" si="124">IF(K460=0,0,IF(K460=2,0.7,0.55))</f>
        <v>0</v>
      </c>
      <c r="L461" s="933">
        <f t="shared" ref="L461" si="125">IF(L460=0,0,IF(L460=2,0.7,0.55))</f>
        <v>0</v>
      </c>
      <c r="M461" s="933">
        <f t="shared" ref="M461" si="126">IF(M460=0,0,IF(M460=2,0.7,0.55))</f>
        <v>0</v>
      </c>
      <c r="N461" s="933">
        <f t="shared" ref="N461" si="127">IF(N460=0,0,IF(N460=2,0.7,0.55))</f>
        <v>0</v>
      </c>
      <c r="O461" s="933">
        <f t="shared" ref="O461" si="128">IF(O460=0,0,IF(O460=2,0.7,0.55))</f>
        <v>0</v>
      </c>
    </row>
    <row r="462" spans="2:17" hidden="1" x14ac:dyDescent="0.15">
      <c r="D462" s="1069" t="s">
        <v>1465</v>
      </c>
      <c r="E462" s="933">
        <f>IF(E460=0,0,IF(E460=2,0.75,0.6))</f>
        <v>0.75</v>
      </c>
      <c r="F462" s="933">
        <f>IF(F460=0,0,IF(F460=2,0.75,0.6))</f>
        <v>0</v>
      </c>
      <c r="G462" s="933">
        <f>IF(G460=0,0,IF(G460=2,0.75,0.6))</f>
        <v>0</v>
      </c>
      <c r="H462" s="933">
        <f>IF(H460=0,0,IF(H460=2,0.75,0.6))</f>
        <v>0</v>
      </c>
      <c r="I462" s="933">
        <f>IF(I460=0,0,IF(I460=2,0.75,0.6))</f>
        <v>0</v>
      </c>
      <c r="J462" s="933">
        <f t="shared" ref="J462:O462" si="129">IF(J460=0,0,IF(J460=2,0.75,0.6))</f>
        <v>0</v>
      </c>
      <c r="K462" s="933">
        <f t="shared" si="129"/>
        <v>0</v>
      </c>
      <c r="L462" s="933">
        <f t="shared" si="129"/>
        <v>0</v>
      </c>
      <c r="M462" s="933">
        <f t="shared" si="129"/>
        <v>0</v>
      </c>
      <c r="N462" s="933">
        <f t="shared" si="129"/>
        <v>0</v>
      </c>
      <c r="O462" s="933">
        <f t="shared" si="129"/>
        <v>0</v>
      </c>
    </row>
    <row r="463" spans="2:17" hidden="1" x14ac:dyDescent="0.15">
      <c r="D463" s="1067" t="s">
        <v>1461</v>
      </c>
      <c r="E463" s="933">
        <f>IF(E89=+"",0,+VALUE(RIGHT(E89,3)))</f>
        <v>1</v>
      </c>
      <c r="F463" s="933">
        <f t="shared" ref="F463:O463" si="130">IF(F89=+"",0,+VALUE(RIGHT(F89,3)))</f>
        <v>0</v>
      </c>
      <c r="G463" s="933">
        <f t="shared" si="130"/>
        <v>0</v>
      </c>
      <c r="H463" s="933">
        <f t="shared" si="130"/>
        <v>0</v>
      </c>
      <c r="I463" s="933">
        <f t="shared" si="130"/>
        <v>0</v>
      </c>
      <c r="J463" s="933">
        <f t="shared" si="130"/>
        <v>1</v>
      </c>
      <c r="K463" s="933">
        <f t="shared" si="130"/>
        <v>0</v>
      </c>
      <c r="L463" s="933">
        <f t="shared" si="130"/>
        <v>0</v>
      </c>
      <c r="M463" s="933">
        <f t="shared" si="130"/>
        <v>0</v>
      </c>
      <c r="N463" s="933">
        <f t="shared" si="130"/>
        <v>0</v>
      </c>
      <c r="O463" s="933">
        <f t="shared" si="130"/>
        <v>0</v>
      </c>
    </row>
    <row r="464" spans="2:17" hidden="1" x14ac:dyDescent="0.15">
      <c r="D464" s="1068" t="s">
        <v>1463</v>
      </c>
      <c r="E464" s="933">
        <f>IF(E463=0,0,IF(E463=1,2,3))</f>
        <v>2</v>
      </c>
      <c r="F464" s="933">
        <f>IF(F463=0,0,IF(F463=1,2,3))</f>
        <v>0</v>
      </c>
      <c r="G464" s="933">
        <f>IF(G463=0,0,IF(G463=1,2,3))</f>
        <v>0</v>
      </c>
      <c r="H464" s="933">
        <f>IF(H463=0,0,IF(H463=1,2,3))</f>
        <v>0</v>
      </c>
      <c r="I464" s="933">
        <f>IF(I463=0,0,IF(I463=1,2,3))</f>
        <v>0</v>
      </c>
      <c r="J464" s="933">
        <f t="shared" ref="J464" si="131">IF(J463=0,0,IF(J463=1,2,3))</f>
        <v>2</v>
      </c>
      <c r="K464" s="933">
        <f t="shared" ref="K464" si="132">IF(K463=0,0,IF(K463=1,2,3))</f>
        <v>0</v>
      </c>
      <c r="L464" s="933">
        <f t="shared" ref="L464" si="133">IF(L463=0,0,IF(L463=1,2,3))</f>
        <v>0</v>
      </c>
      <c r="M464" s="933">
        <f t="shared" ref="M464" si="134">IF(M463=0,0,IF(M463=1,2,3))</f>
        <v>0</v>
      </c>
      <c r="N464" s="933">
        <f t="shared" ref="N464" si="135">IF(N463=0,0,IF(N463=1,2,3))</f>
        <v>0</v>
      </c>
      <c r="O464" s="933">
        <f t="shared" ref="O464" si="136">IF(O463=0,0,IF(O463=1,2,3))</f>
        <v>0</v>
      </c>
    </row>
    <row r="465" spans="2:20" hidden="1" x14ac:dyDescent="0.15">
      <c r="D465" s="1068" t="s">
        <v>1464</v>
      </c>
      <c r="E465" s="933">
        <f>IF(E464=0,0,IF(E464=2,0.7,0.55))</f>
        <v>0.7</v>
      </c>
      <c r="F465" s="933">
        <f>IF(F464=0,0,IF(F464=2,0.7,0.55))</f>
        <v>0</v>
      </c>
      <c r="G465" s="933">
        <f>IF(G464=0,0,IF(G464=2,0.7,0.55))</f>
        <v>0</v>
      </c>
      <c r="H465" s="933">
        <f>IF(H464=0,0,IF(H464=2,0.7,0.55))</f>
        <v>0</v>
      </c>
      <c r="I465" s="933">
        <f>IF(I464=0,0,IF(I464=2,0.7,0.55))</f>
        <v>0</v>
      </c>
      <c r="J465" s="933">
        <f t="shared" ref="J465" si="137">IF(J464=0,0,IF(J464=2,0.7,0.55))</f>
        <v>0.7</v>
      </c>
      <c r="K465" s="933">
        <f t="shared" ref="K465" si="138">IF(K464=0,0,IF(K464=2,0.7,0.55))</f>
        <v>0</v>
      </c>
      <c r="L465" s="933">
        <f t="shared" ref="L465" si="139">IF(L464=0,0,IF(L464=2,0.7,0.55))</f>
        <v>0</v>
      </c>
      <c r="M465" s="933">
        <f t="shared" ref="M465" si="140">IF(M464=0,0,IF(M464=2,0.7,0.55))</f>
        <v>0</v>
      </c>
      <c r="N465" s="933">
        <f t="shared" ref="N465" si="141">IF(N464=0,0,IF(N464=2,0.7,0.55))</f>
        <v>0</v>
      </c>
      <c r="O465" s="933">
        <f t="shared" ref="O465" si="142">IF(O464=0,0,IF(O464=2,0.7,0.55))</f>
        <v>0</v>
      </c>
    </row>
    <row r="466" spans="2:20" hidden="1" x14ac:dyDescent="0.15">
      <c r="D466" s="1069" t="s">
        <v>1465</v>
      </c>
      <c r="E466" s="933">
        <f>IF(E464=0,0,IF(E464=2,0.75,0.6))</f>
        <v>0.75</v>
      </c>
      <c r="F466" s="933">
        <f>IF(F464=0,0,IF(F464=2,0.75,0.6))</f>
        <v>0</v>
      </c>
      <c r="G466" s="933">
        <f>IF(G464=0,0,IF(G464=2,0.75,0.6))</f>
        <v>0</v>
      </c>
      <c r="H466" s="933">
        <f>IF(H464=0,0,IF(H464=2,0.75,0.6))</f>
        <v>0</v>
      </c>
      <c r="I466" s="933">
        <f>IF(I464=0,0,IF(I464=2,0.75,0.6))</f>
        <v>0</v>
      </c>
      <c r="J466" s="933">
        <f t="shared" ref="J466:O466" si="143">IF(J464=0,0,IF(J464=2,0.75,0.6))</f>
        <v>0.75</v>
      </c>
      <c r="K466" s="933">
        <f t="shared" si="143"/>
        <v>0</v>
      </c>
      <c r="L466" s="933">
        <f t="shared" si="143"/>
        <v>0</v>
      </c>
      <c r="M466" s="933">
        <f t="shared" si="143"/>
        <v>0</v>
      </c>
      <c r="N466" s="933">
        <f t="shared" si="143"/>
        <v>0</v>
      </c>
      <c r="O466" s="933">
        <f t="shared" si="143"/>
        <v>0</v>
      </c>
    </row>
    <row r="467" spans="2:20" hidden="1" x14ac:dyDescent="0.15">
      <c r="D467" s="1067" t="s">
        <v>1461</v>
      </c>
      <c r="E467" s="933">
        <f>IF(E114=+"",0,+VALUE(RIGHT(E114,3)))</f>
        <v>1</v>
      </c>
      <c r="F467" s="933">
        <f t="shared" ref="F467:O467" si="144">IF(F114=+"",0,+VALUE(RIGHT(F114,3)))</f>
        <v>0</v>
      </c>
      <c r="G467" s="933">
        <f t="shared" si="144"/>
        <v>0</v>
      </c>
      <c r="H467" s="933">
        <f t="shared" si="144"/>
        <v>0</v>
      </c>
      <c r="I467" s="933">
        <f t="shared" si="144"/>
        <v>0</v>
      </c>
      <c r="J467" s="933">
        <f t="shared" si="144"/>
        <v>1</v>
      </c>
      <c r="K467" s="933">
        <f t="shared" si="144"/>
        <v>0</v>
      </c>
      <c r="L467" s="933">
        <f t="shared" si="144"/>
        <v>0</v>
      </c>
      <c r="M467" s="933">
        <f t="shared" si="144"/>
        <v>0</v>
      </c>
      <c r="N467" s="933">
        <f t="shared" si="144"/>
        <v>0</v>
      </c>
      <c r="O467" s="933">
        <f t="shared" si="144"/>
        <v>0</v>
      </c>
    </row>
    <row r="468" spans="2:20" hidden="1" x14ac:dyDescent="0.15">
      <c r="D468" s="1068" t="s">
        <v>1463</v>
      </c>
      <c r="E468" s="933">
        <f>IF(E467=0,0,IF(E467=1,2,3))</f>
        <v>2</v>
      </c>
      <c r="F468" s="933">
        <f>IF(F467=0,0,IF(F467=1,2,3))</f>
        <v>0</v>
      </c>
      <c r="G468" s="933">
        <f>IF(G467=0,0,IF(G467=1,2,3))</f>
        <v>0</v>
      </c>
      <c r="H468" s="933">
        <f>IF(H467=0,0,IF(H467=1,2,3))</f>
        <v>0</v>
      </c>
      <c r="I468" s="933">
        <f>IF(I467=0,0,IF(I467=1,2,3))</f>
        <v>0</v>
      </c>
      <c r="J468" s="933">
        <f t="shared" ref="J468" si="145">IF(J467=0,0,IF(J467=1,2,3))</f>
        <v>2</v>
      </c>
      <c r="K468" s="933">
        <f t="shared" ref="K468" si="146">IF(K467=0,0,IF(K467=1,2,3))</f>
        <v>0</v>
      </c>
      <c r="L468" s="933">
        <f t="shared" ref="L468" si="147">IF(L467=0,0,IF(L467=1,2,3))</f>
        <v>0</v>
      </c>
      <c r="M468" s="933">
        <f t="shared" ref="M468" si="148">IF(M467=0,0,IF(M467=1,2,3))</f>
        <v>0</v>
      </c>
      <c r="N468" s="933">
        <f t="shared" ref="N468" si="149">IF(N467=0,0,IF(N467=1,2,3))</f>
        <v>0</v>
      </c>
      <c r="O468" s="933">
        <f t="shared" ref="O468" si="150">IF(O467=0,0,IF(O467=1,2,3))</f>
        <v>0</v>
      </c>
    </row>
    <row r="469" spans="2:20" hidden="1" x14ac:dyDescent="0.15">
      <c r="D469" s="1068" t="s">
        <v>1464</v>
      </c>
      <c r="E469" s="933">
        <f>IF(E468=0,0,IF(E468=2,0.7,0.55))</f>
        <v>0.7</v>
      </c>
      <c r="F469" s="933">
        <f>IF(F468=0,0,IF(F468=2,0.7,0.55))</f>
        <v>0</v>
      </c>
      <c r="G469" s="933">
        <f>IF(G468=0,0,IF(G468=2,0.7,0.55))</f>
        <v>0</v>
      </c>
      <c r="H469" s="933">
        <f>IF(H468=0,0,IF(H468=2,0.7,0.55))</f>
        <v>0</v>
      </c>
      <c r="I469" s="933">
        <f>IF(I468=0,0,IF(I468=2,0.7,0.55))</f>
        <v>0</v>
      </c>
      <c r="J469" s="933">
        <f t="shared" ref="J469" si="151">IF(J468=0,0,IF(J468=2,0.7,0.55))</f>
        <v>0.7</v>
      </c>
      <c r="K469" s="933">
        <f t="shared" ref="K469" si="152">IF(K468=0,0,IF(K468=2,0.7,0.55))</f>
        <v>0</v>
      </c>
      <c r="L469" s="933">
        <f t="shared" ref="L469" si="153">IF(L468=0,0,IF(L468=2,0.7,0.55))</f>
        <v>0</v>
      </c>
      <c r="M469" s="933">
        <f t="shared" ref="M469" si="154">IF(M468=0,0,IF(M468=2,0.7,0.55))</f>
        <v>0</v>
      </c>
      <c r="N469" s="933">
        <f t="shared" ref="N469" si="155">IF(N468=0,0,IF(N468=2,0.7,0.55))</f>
        <v>0</v>
      </c>
      <c r="O469" s="933">
        <f t="shared" ref="O469" si="156">IF(O468=0,0,IF(O468=2,0.7,0.55))</f>
        <v>0</v>
      </c>
    </row>
    <row r="470" spans="2:20" hidden="1" x14ac:dyDescent="0.15">
      <c r="D470" s="1069" t="s">
        <v>1465</v>
      </c>
      <c r="E470" s="933">
        <f>IF(E468=0,0,IF(E468=2,0.75,0.6))</f>
        <v>0.75</v>
      </c>
      <c r="F470" s="933">
        <f>IF(F468=0,0,IF(F468=2,0.75,0.6))</f>
        <v>0</v>
      </c>
      <c r="G470" s="933">
        <f>IF(G468=0,0,IF(G468=2,0.75,0.6))</f>
        <v>0</v>
      </c>
      <c r="H470" s="933">
        <f>IF(H468=0,0,IF(H468=2,0.75,0.6))</f>
        <v>0</v>
      </c>
      <c r="I470" s="933">
        <f>IF(I468=0,0,IF(I468=2,0.75,0.6))</f>
        <v>0</v>
      </c>
      <c r="J470" s="933">
        <f t="shared" ref="J470:O470" si="157">IF(J468=0,0,IF(J468=2,0.75,0.6))</f>
        <v>0.75</v>
      </c>
      <c r="K470" s="933">
        <f t="shared" si="157"/>
        <v>0</v>
      </c>
      <c r="L470" s="933">
        <f t="shared" si="157"/>
        <v>0</v>
      </c>
      <c r="M470" s="933">
        <f t="shared" si="157"/>
        <v>0</v>
      </c>
      <c r="N470" s="933">
        <f t="shared" si="157"/>
        <v>0</v>
      </c>
      <c r="O470" s="933">
        <f t="shared" si="157"/>
        <v>0</v>
      </c>
    </row>
    <row r="471" spans="2:20" hidden="1" x14ac:dyDescent="0.15">
      <c r="D471" s="30"/>
      <c r="E471" s="56"/>
      <c r="F471" s="56"/>
      <c r="G471" s="56"/>
      <c r="H471" s="56"/>
      <c r="I471" s="56"/>
      <c r="J471" s="56"/>
      <c r="K471" s="56"/>
      <c r="L471" s="56"/>
      <c r="M471" s="56"/>
      <c r="N471" s="56"/>
      <c r="O471" s="56"/>
    </row>
    <row r="472" spans="2:20" hidden="1" x14ac:dyDescent="0.15">
      <c r="D472" s="30"/>
      <c r="E472" s="56"/>
      <c r="F472" s="56"/>
      <c r="G472" s="56"/>
      <c r="H472" s="56"/>
      <c r="I472" s="56"/>
      <c r="J472" s="56"/>
      <c r="K472" s="56"/>
      <c r="L472" s="56"/>
      <c r="M472" s="56"/>
      <c r="N472" s="56"/>
      <c r="O472" s="56"/>
    </row>
    <row r="473" spans="2:20" hidden="1" x14ac:dyDescent="0.15">
      <c r="D473" s="30"/>
      <c r="E473" s="56"/>
      <c r="F473" s="56"/>
      <c r="G473" s="56"/>
      <c r="H473" s="56"/>
      <c r="I473" s="56"/>
      <c r="J473" s="56"/>
      <c r="K473" s="56"/>
      <c r="L473" s="56"/>
      <c r="M473" s="56"/>
      <c r="N473" s="56"/>
      <c r="O473" s="56"/>
    </row>
    <row r="474" spans="2:20" hidden="1" x14ac:dyDescent="0.15">
      <c r="D474" s="30"/>
      <c r="E474" s="56"/>
      <c r="F474" s="56"/>
      <c r="G474" s="56"/>
      <c r="H474" s="56"/>
      <c r="I474" s="56"/>
      <c r="J474" s="56"/>
      <c r="K474" s="56"/>
      <c r="L474" s="56"/>
      <c r="M474" s="56"/>
      <c r="N474" s="56"/>
      <c r="O474" s="56"/>
    </row>
    <row r="475" spans="2:20" hidden="1" x14ac:dyDescent="0.15"/>
    <row r="476" spans="2:20" hidden="1" x14ac:dyDescent="0.15">
      <c r="B476" s="60" t="s">
        <v>1466</v>
      </c>
      <c r="C476" s="933" t="e">
        <f>IF(#REF!=+"",0,+VALUE(RIGHT(#REF!,3))+1)</f>
        <v>#REF!</v>
      </c>
      <c r="D476" s="933" t="e">
        <f>IF(#REF!=+"",0,+VALUE(RIGHT(#REF!,3))+1)</f>
        <v>#REF!</v>
      </c>
      <c r="E476" s="933" t="e">
        <f>IF(#REF!=+"",0,+VALUE(RIGHT(#REF!,3))+1)</f>
        <v>#REF!</v>
      </c>
      <c r="F476" s="933" t="e">
        <f>IF(#REF!=+"",0,+VALUE(RIGHT(#REF!,3))+1)</f>
        <v>#REF!</v>
      </c>
      <c r="G476" s="933" t="e">
        <f>IF(#REF!=+"",0,+VALUE(RIGHT(#REF!,3))+1)</f>
        <v>#REF!</v>
      </c>
      <c r="H476" s="933" t="e">
        <f>IF(#REF!=+"",0,+VALUE(RIGHT(#REF!,3))+1)</f>
        <v>#REF!</v>
      </c>
    </row>
    <row r="477" spans="2:20" hidden="1" x14ac:dyDescent="0.15"/>
    <row r="478" spans="2:20" hidden="1" x14ac:dyDescent="0.15">
      <c r="C478" s="639"/>
      <c r="D478" s="966" t="s">
        <v>1467</v>
      </c>
      <c r="E478" s="966"/>
      <c r="F478" s="966"/>
      <c r="G478" s="966"/>
      <c r="H478" s="966"/>
      <c r="I478" s="966"/>
      <c r="J478" s="966"/>
      <c r="K478" s="966"/>
      <c r="L478" s="966"/>
      <c r="M478" s="966"/>
      <c r="N478" s="966"/>
      <c r="O478" s="966"/>
      <c r="P478" s="966"/>
      <c r="Q478" s="639"/>
      <c r="R478" s="639"/>
      <c r="S478" s="639"/>
      <c r="T478" s="639"/>
    </row>
    <row r="479" spans="2:20" hidden="1" x14ac:dyDescent="0.15">
      <c r="C479" s="639"/>
      <c r="D479" s="966" t="s">
        <v>1468</v>
      </c>
      <c r="E479" s="966"/>
      <c r="F479" s="966"/>
      <c r="G479" s="966"/>
      <c r="H479" s="966"/>
      <c r="I479" s="966"/>
      <c r="J479" s="966"/>
      <c r="K479" s="966"/>
      <c r="L479" s="966"/>
      <c r="M479" s="966"/>
      <c r="N479" s="966"/>
      <c r="O479" s="966"/>
      <c r="P479" s="966"/>
      <c r="Q479" s="1729" t="s">
        <v>1469</v>
      </c>
      <c r="R479" s="1684"/>
      <c r="S479" s="966"/>
      <c r="T479" s="966"/>
    </row>
    <row r="480" spans="2:20" hidden="1" x14ac:dyDescent="0.15">
      <c r="C480" s="966"/>
      <c r="D480" s="1063" t="s">
        <v>1332</v>
      </c>
      <c r="E480" s="1063" t="s">
        <v>1470</v>
      </c>
      <c r="F480" s="1063" t="s">
        <v>1471</v>
      </c>
      <c r="G480" s="1063" t="s">
        <v>1472</v>
      </c>
      <c r="H480" s="1063" t="s">
        <v>1473</v>
      </c>
      <c r="I480" s="1063" t="s">
        <v>1474</v>
      </c>
      <c r="J480" s="1063" t="s">
        <v>1475</v>
      </c>
      <c r="K480" s="1063" t="s">
        <v>1476</v>
      </c>
      <c r="L480" s="1036"/>
      <c r="M480" s="1036"/>
      <c r="N480" s="1036"/>
      <c r="O480" s="1729" t="s">
        <v>1469</v>
      </c>
      <c r="P480" s="1671"/>
      <c r="Q480" s="1063" t="s">
        <v>1477</v>
      </c>
      <c r="R480" s="968" t="s">
        <v>1478</v>
      </c>
      <c r="S480" s="1063" t="s">
        <v>1479</v>
      </c>
      <c r="T480" s="968" t="s">
        <v>1480</v>
      </c>
    </row>
    <row r="481" spans="3:20" hidden="1" x14ac:dyDescent="0.15">
      <c r="C481" s="639"/>
      <c r="D481" s="969"/>
      <c r="E481" s="969"/>
      <c r="F481" s="969"/>
      <c r="G481" s="969"/>
      <c r="H481" s="969"/>
      <c r="I481" s="969"/>
      <c r="J481" s="969"/>
      <c r="K481" s="969"/>
      <c r="L481" s="1064"/>
      <c r="M481" s="1064"/>
      <c r="N481" s="1064"/>
      <c r="O481" s="1064"/>
      <c r="P481" s="970"/>
      <c r="Q481" s="969"/>
      <c r="R481" s="969"/>
      <c r="S481" s="969"/>
      <c r="T481" s="969"/>
    </row>
    <row r="482" spans="3:20" hidden="1" x14ac:dyDescent="0.15">
      <c r="C482" s="639">
        <v>1</v>
      </c>
      <c r="D482" s="969">
        <v>3</v>
      </c>
      <c r="E482" s="929">
        <v>1.5</v>
      </c>
      <c r="F482" s="929">
        <v>1.75</v>
      </c>
      <c r="G482" s="929"/>
      <c r="H482" s="929"/>
      <c r="I482" s="929"/>
      <c r="J482" s="929"/>
      <c r="K482" s="929"/>
      <c r="L482" s="979"/>
      <c r="M482" s="979"/>
      <c r="N482" s="979"/>
      <c r="O482" s="971">
        <f t="shared" ref="O482:O487" si="158">MAX(E482:K482)</f>
        <v>1.75</v>
      </c>
      <c r="P482" s="970" t="s">
        <v>1481</v>
      </c>
      <c r="Q482" s="929">
        <f>+E482</f>
        <v>1.5</v>
      </c>
      <c r="R482" s="929">
        <f>+F482</f>
        <v>1.75</v>
      </c>
      <c r="S482" s="929">
        <f>+F482</f>
        <v>1.75</v>
      </c>
      <c r="T482" s="929">
        <f>+Q482</f>
        <v>1.5</v>
      </c>
    </row>
    <row r="483" spans="3:20" hidden="1" x14ac:dyDescent="0.15">
      <c r="C483" s="639">
        <v>2</v>
      </c>
      <c r="D483" s="969">
        <v>5</v>
      </c>
      <c r="E483" s="929">
        <v>2.5</v>
      </c>
      <c r="F483" s="929">
        <v>4</v>
      </c>
      <c r="G483" s="929">
        <v>4.5</v>
      </c>
      <c r="H483" s="929"/>
      <c r="I483" s="929"/>
      <c r="J483" s="929"/>
      <c r="K483" s="929"/>
      <c r="L483" s="979"/>
      <c r="M483" s="979"/>
      <c r="N483" s="979"/>
      <c r="O483" s="971">
        <f t="shared" si="158"/>
        <v>4.5</v>
      </c>
      <c r="P483" s="970" t="s">
        <v>1482</v>
      </c>
      <c r="Q483" s="929">
        <f>+F483</f>
        <v>4</v>
      </c>
      <c r="R483" s="929">
        <f>+F483</f>
        <v>4</v>
      </c>
      <c r="S483" s="929">
        <f>+G483</f>
        <v>4.5</v>
      </c>
      <c r="T483" s="929">
        <f>+G483</f>
        <v>4.5</v>
      </c>
    </row>
    <row r="484" spans="3:20" hidden="1" x14ac:dyDescent="0.15">
      <c r="C484" s="639">
        <v>3</v>
      </c>
      <c r="D484" s="969">
        <v>7</v>
      </c>
      <c r="E484" s="929">
        <v>3.5</v>
      </c>
      <c r="F484" s="929">
        <v>6</v>
      </c>
      <c r="G484" s="929">
        <v>7.5</v>
      </c>
      <c r="H484" s="929">
        <v>8</v>
      </c>
      <c r="I484" s="929"/>
      <c r="J484" s="929"/>
      <c r="K484" s="929"/>
      <c r="L484" s="979"/>
      <c r="M484" s="979"/>
      <c r="N484" s="979"/>
      <c r="O484" s="971">
        <f t="shared" si="158"/>
        <v>8</v>
      </c>
      <c r="P484" s="970" t="s">
        <v>1482</v>
      </c>
      <c r="Q484" s="929">
        <f>+G484</f>
        <v>7.5</v>
      </c>
      <c r="R484" s="929">
        <f>+G484</f>
        <v>7.5</v>
      </c>
      <c r="S484" s="929">
        <f>+H484</f>
        <v>8</v>
      </c>
      <c r="T484" s="929">
        <f>+H484</f>
        <v>8</v>
      </c>
    </row>
    <row r="485" spans="3:20" hidden="1" x14ac:dyDescent="0.15">
      <c r="C485" s="639">
        <v>4</v>
      </c>
      <c r="D485" s="969">
        <v>9</v>
      </c>
      <c r="E485" s="929">
        <v>4.5</v>
      </c>
      <c r="F485" s="929">
        <v>8</v>
      </c>
      <c r="G485" s="929">
        <v>10.5</v>
      </c>
      <c r="H485" s="929">
        <v>12</v>
      </c>
      <c r="I485" s="929">
        <v>12.5</v>
      </c>
      <c r="J485" s="929"/>
      <c r="K485" s="929"/>
      <c r="L485" s="979"/>
      <c r="M485" s="979"/>
      <c r="N485" s="979"/>
      <c r="O485" s="971">
        <f t="shared" si="158"/>
        <v>12.5</v>
      </c>
      <c r="P485" s="970" t="s">
        <v>1483</v>
      </c>
      <c r="Q485" s="929">
        <f>+H485</f>
        <v>12</v>
      </c>
      <c r="R485" s="929">
        <f>+H485</f>
        <v>12</v>
      </c>
      <c r="S485" s="929">
        <f>+I485</f>
        <v>12.5</v>
      </c>
      <c r="T485" s="929">
        <f>+I485</f>
        <v>12.5</v>
      </c>
    </row>
    <row r="486" spans="3:20" hidden="1" x14ac:dyDescent="0.15">
      <c r="C486" s="639">
        <v>5</v>
      </c>
      <c r="D486" s="969">
        <v>11</v>
      </c>
      <c r="E486" s="929">
        <v>5.5</v>
      </c>
      <c r="F486" s="929">
        <v>10</v>
      </c>
      <c r="G486" s="929">
        <v>13.5</v>
      </c>
      <c r="H486" s="929">
        <v>16</v>
      </c>
      <c r="I486" s="929">
        <v>17.5</v>
      </c>
      <c r="J486" s="929">
        <v>18</v>
      </c>
      <c r="K486" s="929"/>
      <c r="L486" s="979"/>
      <c r="M486" s="979"/>
      <c r="N486" s="979"/>
      <c r="O486" s="971">
        <f t="shared" si="158"/>
        <v>18</v>
      </c>
      <c r="P486" s="970" t="s">
        <v>1484</v>
      </c>
      <c r="Q486" s="929">
        <f>+I486</f>
        <v>17.5</v>
      </c>
      <c r="R486" s="929">
        <f>+I486</f>
        <v>17.5</v>
      </c>
      <c r="S486" s="929">
        <f>+J486</f>
        <v>18</v>
      </c>
      <c r="T486" s="929">
        <f>+J486</f>
        <v>18</v>
      </c>
    </row>
    <row r="487" spans="3:20" hidden="1" x14ac:dyDescent="0.15">
      <c r="C487" s="639">
        <v>6</v>
      </c>
      <c r="D487" s="972">
        <v>13</v>
      </c>
      <c r="E487" s="973">
        <v>6.5</v>
      </c>
      <c r="F487" s="973">
        <v>12</v>
      </c>
      <c r="G487" s="973">
        <v>16.5</v>
      </c>
      <c r="H487" s="973">
        <v>20</v>
      </c>
      <c r="I487" s="973">
        <v>22.5</v>
      </c>
      <c r="J487" s="973">
        <v>24</v>
      </c>
      <c r="K487" s="973">
        <v>24.5</v>
      </c>
      <c r="L487" s="1037"/>
      <c r="M487" s="1037"/>
      <c r="N487" s="1037"/>
      <c r="O487" s="971">
        <f t="shared" si="158"/>
        <v>24.5</v>
      </c>
      <c r="P487" s="970" t="s">
        <v>1484</v>
      </c>
      <c r="Q487" s="929">
        <f>+J487</f>
        <v>24</v>
      </c>
      <c r="R487" s="929">
        <f>+J487</f>
        <v>24</v>
      </c>
      <c r="S487" s="929">
        <f>+K487</f>
        <v>24.5</v>
      </c>
      <c r="T487" s="929">
        <f>+K487</f>
        <v>24.5</v>
      </c>
    </row>
    <row r="488" spans="3:20" hidden="1" x14ac:dyDescent="0.15">
      <c r="C488" s="639">
        <v>7</v>
      </c>
      <c r="D488" s="972"/>
      <c r="E488" s="973"/>
      <c r="F488" s="973"/>
      <c r="G488" s="973"/>
      <c r="H488" s="973"/>
      <c r="I488" s="973"/>
      <c r="J488" s="973"/>
      <c r="K488" s="973"/>
      <c r="L488" s="1037"/>
      <c r="M488" s="1037"/>
      <c r="N488" s="1037"/>
      <c r="O488" s="971"/>
      <c r="P488" s="970"/>
      <c r="Q488" s="929"/>
      <c r="R488" s="974"/>
      <c r="S488" s="929">
        <v>1.5</v>
      </c>
      <c r="T488" s="929">
        <v>1.5</v>
      </c>
    </row>
    <row r="489" spans="3:20" hidden="1" x14ac:dyDescent="0.15">
      <c r="C489" s="966"/>
      <c r="D489" s="969"/>
      <c r="E489" s="975" t="s">
        <v>1485</v>
      </c>
      <c r="F489" s="975" t="s">
        <v>1486</v>
      </c>
      <c r="G489" s="975" t="s">
        <v>1487</v>
      </c>
      <c r="H489" s="975" t="s">
        <v>1488</v>
      </c>
      <c r="I489" s="975" t="s">
        <v>1489</v>
      </c>
      <c r="J489" s="975" t="s">
        <v>1490</v>
      </c>
      <c r="K489" s="975" t="s">
        <v>1491</v>
      </c>
      <c r="L489" s="1038"/>
      <c r="M489" s="1038"/>
      <c r="N489" s="1038"/>
      <c r="O489" s="1729" t="s">
        <v>1492</v>
      </c>
      <c r="P489" s="1671"/>
      <c r="Q489" s="929"/>
      <c r="R489" s="974"/>
      <c r="S489" s="966"/>
      <c r="T489" s="966"/>
    </row>
    <row r="490" spans="3:20" hidden="1" x14ac:dyDescent="0.15">
      <c r="C490" s="966"/>
      <c r="D490" s="969"/>
      <c r="E490" s="929"/>
      <c r="F490" s="929"/>
      <c r="G490" s="929"/>
      <c r="H490" s="929"/>
      <c r="I490" s="929"/>
      <c r="J490" s="929"/>
      <c r="K490" s="929"/>
      <c r="L490" s="979"/>
      <c r="M490" s="979"/>
      <c r="N490" s="979"/>
      <c r="O490" s="971"/>
      <c r="P490" s="976"/>
      <c r="Q490" s="929"/>
      <c r="R490" s="929"/>
      <c r="S490" s="966"/>
      <c r="T490" s="639"/>
    </row>
    <row r="491" spans="3:20" hidden="1" x14ac:dyDescent="0.15">
      <c r="C491" s="966">
        <v>1</v>
      </c>
      <c r="D491" s="969">
        <v>3</v>
      </c>
      <c r="E491" s="929">
        <v>1.5</v>
      </c>
      <c r="F491" s="929">
        <v>0.5</v>
      </c>
      <c r="G491" s="929"/>
      <c r="H491" s="929"/>
      <c r="I491" s="929"/>
      <c r="J491" s="929"/>
      <c r="K491" s="929"/>
      <c r="L491" s="979"/>
      <c r="M491" s="979"/>
      <c r="N491" s="979"/>
      <c r="O491" s="971">
        <f t="shared" ref="O491:O496" si="159">MAX(E491:K491)</f>
        <v>1.5</v>
      </c>
      <c r="P491" s="977" t="s">
        <v>1493</v>
      </c>
      <c r="Q491" s="929">
        <f t="shared" ref="Q491:Q496" si="160">+E491</f>
        <v>1.5</v>
      </c>
      <c r="R491" s="929">
        <f t="shared" ref="R491:R496" si="161">+Q491</f>
        <v>1.5</v>
      </c>
      <c r="S491" s="966"/>
      <c r="T491" s="639"/>
    </row>
    <row r="492" spans="3:20" hidden="1" x14ac:dyDescent="0.15">
      <c r="C492" s="966">
        <v>2</v>
      </c>
      <c r="D492" s="969">
        <v>5</v>
      </c>
      <c r="E492" s="929">
        <v>2.5</v>
      </c>
      <c r="F492" s="929">
        <v>1.5</v>
      </c>
      <c r="G492" s="929">
        <v>0.5</v>
      </c>
      <c r="H492" s="929"/>
      <c r="I492" s="929"/>
      <c r="J492" s="929"/>
      <c r="K492" s="929"/>
      <c r="L492" s="979"/>
      <c r="M492" s="979"/>
      <c r="N492" s="979"/>
      <c r="O492" s="971">
        <f t="shared" si="159"/>
        <v>2.5</v>
      </c>
      <c r="P492" s="977" t="s">
        <v>1494</v>
      </c>
      <c r="Q492" s="929">
        <f t="shared" si="160"/>
        <v>2.5</v>
      </c>
      <c r="R492" s="929">
        <f t="shared" si="161"/>
        <v>2.5</v>
      </c>
      <c r="S492" s="966"/>
      <c r="T492" s="639"/>
    </row>
    <row r="493" spans="3:20" hidden="1" x14ac:dyDescent="0.15">
      <c r="C493" s="966">
        <v>3</v>
      </c>
      <c r="D493" s="969">
        <v>7</v>
      </c>
      <c r="E493" s="929">
        <v>3.5</v>
      </c>
      <c r="F493" s="929">
        <v>2.5</v>
      </c>
      <c r="G493" s="929">
        <v>1.5</v>
      </c>
      <c r="H493" s="929">
        <v>0.5</v>
      </c>
      <c r="I493" s="929"/>
      <c r="J493" s="929"/>
      <c r="K493" s="929"/>
      <c r="L493" s="979"/>
      <c r="M493" s="979"/>
      <c r="N493" s="979"/>
      <c r="O493" s="971">
        <f t="shared" si="159"/>
        <v>3.5</v>
      </c>
      <c r="P493" s="977" t="s">
        <v>1494</v>
      </c>
      <c r="Q493" s="929">
        <f t="shared" si="160"/>
        <v>3.5</v>
      </c>
      <c r="R493" s="929">
        <f t="shared" si="161"/>
        <v>3.5</v>
      </c>
      <c r="S493" s="966"/>
      <c r="T493" s="639"/>
    </row>
    <row r="494" spans="3:20" hidden="1" x14ac:dyDescent="0.15">
      <c r="C494" s="966">
        <v>4</v>
      </c>
      <c r="D494" s="969">
        <v>9</v>
      </c>
      <c r="E494" s="929">
        <v>4.5</v>
      </c>
      <c r="F494" s="929">
        <v>3.5</v>
      </c>
      <c r="G494" s="929">
        <v>2.5</v>
      </c>
      <c r="H494" s="929">
        <v>1.5</v>
      </c>
      <c r="I494" s="929">
        <v>0.5</v>
      </c>
      <c r="J494" s="929"/>
      <c r="K494" s="929"/>
      <c r="L494" s="979"/>
      <c r="M494" s="979"/>
      <c r="N494" s="979"/>
      <c r="O494" s="971">
        <f t="shared" si="159"/>
        <v>4.5</v>
      </c>
      <c r="P494" s="977" t="s">
        <v>1494</v>
      </c>
      <c r="Q494" s="929">
        <f t="shared" si="160"/>
        <v>4.5</v>
      </c>
      <c r="R494" s="929">
        <f t="shared" si="161"/>
        <v>4.5</v>
      </c>
      <c r="S494" s="966"/>
      <c r="T494" s="639"/>
    </row>
    <row r="495" spans="3:20" hidden="1" x14ac:dyDescent="0.15">
      <c r="C495" s="966">
        <v>5</v>
      </c>
      <c r="D495" s="969">
        <v>11</v>
      </c>
      <c r="E495" s="929">
        <v>5.5</v>
      </c>
      <c r="F495" s="929">
        <v>4.5</v>
      </c>
      <c r="G495" s="929">
        <v>3.5</v>
      </c>
      <c r="H495" s="929">
        <v>2.5</v>
      </c>
      <c r="I495" s="929">
        <v>1.5</v>
      </c>
      <c r="J495" s="929">
        <v>0.5</v>
      </c>
      <c r="K495" s="929"/>
      <c r="L495" s="979"/>
      <c r="M495" s="979"/>
      <c r="N495" s="979"/>
      <c r="O495" s="971">
        <f t="shared" si="159"/>
        <v>5.5</v>
      </c>
      <c r="P495" s="977" t="s">
        <v>1494</v>
      </c>
      <c r="Q495" s="929">
        <f t="shared" si="160"/>
        <v>5.5</v>
      </c>
      <c r="R495" s="929">
        <f t="shared" si="161"/>
        <v>5.5</v>
      </c>
      <c r="S495" s="966"/>
      <c r="T495" s="639"/>
    </row>
    <row r="496" spans="3:20" hidden="1" x14ac:dyDescent="0.15">
      <c r="C496" s="966">
        <v>6</v>
      </c>
      <c r="D496" s="969">
        <v>13</v>
      </c>
      <c r="E496" s="929">
        <v>6.5</v>
      </c>
      <c r="F496" s="929">
        <v>5.5</v>
      </c>
      <c r="G496" s="929">
        <v>4.5</v>
      </c>
      <c r="H496" s="929">
        <v>3.5</v>
      </c>
      <c r="I496" s="929">
        <v>2.5</v>
      </c>
      <c r="J496" s="929">
        <v>1.5</v>
      </c>
      <c r="K496" s="929">
        <v>0.5</v>
      </c>
      <c r="L496" s="979"/>
      <c r="M496" s="979"/>
      <c r="N496" s="979"/>
      <c r="O496" s="971">
        <f t="shared" si="159"/>
        <v>6.5</v>
      </c>
      <c r="P496" s="977" t="s">
        <v>1494</v>
      </c>
      <c r="Q496" s="929">
        <f t="shared" si="160"/>
        <v>6.5</v>
      </c>
      <c r="R496" s="929">
        <f t="shared" si="161"/>
        <v>6.5</v>
      </c>
      <c r="S496" s="966"/>
      <c r="T496" s="639"/>
    </row>
    <row r="497" spans="3:20" hidden="1" x14ac:dyDescent="0.15">
      <c r="C497" s="966">
        <v>7</v>
      </c>
      <c r="D497" s="969"/>
      <c r="E497" s="929"/>
      <c r="F497" s="929"/>
      <c r="G497" s="929"/>
      <c r="H497" s="929"/>
      <c r="I497" s="929"/>
      <c r="J497" s="929"/>
      <c r="K497" s="929"/>
      <c r="L497" s="979"/>
      <c r="M497" s="979"/>
      <c r="N497" s="979"/>
      <c r="O497" s="971"/>
      <c r="P497" s="977"/>
      <c r="Q497" s="929">
        <v>1.5</v>
      </c>
      <c r="R497" s="929">
        <v>1.5</v>
      </c>
      <c r="S497" s="966"/>
      <c r="T497" s="639"/>
    </row>
    <row r="498" spans="3:20" hidden="1" x14ac:dyDescent="0.15">
      <c r="C498" s="966"/>
      <c r="D498" s="969"/>
      <c r="E498" s="975" t="s">
        <v>1495</v>
      </c>
      <c r="F498" s="975" t="s">
        <v>1496</v>
      </c>
      <c r="G498" s="975" t="s">
        <v>1497</v>
      </c>
      <c r="H498" s="975" t="s">
        <v>1498</v>
      </c>
      <c r="I498" s="975" t="s">
        <v>1499</v>
      </c>
      <c r="J498" s="975" t="s">
        <v>1500</v>
      </c>
      <c r="K498" s="975" t="s">
        <v>1501</v>
      </c>
      <c r="L498" s="1038"/>
      <c r="M498" s="1038"/>
      <c r="N498" s="1038"/>
      <c r="O498" s="1729" t="s">
        <v>1502</v>
      </c>
      <c r="P498" s="1671"/>
      <c r="Q498" s="975"/>
      <c r="R498" s="929"/>
      <c r="S498" s="966"/>
      <c r="T498" s="639"/>
    </row>
    <row r="499" spans="3:20" hidden="1" x14ac:dyDescent="0.15">
      <c r="C499" s="966"/>
      <c r="D499" s="969"/>
      <c r="E499" s="929"/>
      <c r="F499" s="929"/>
      <c r="G499" s="929"/>
      <c r="H499" s="929"/>
      <c r="I499" s="929"/>
      <c r="J499" s="929"/>
      <c r="K499" s="929"/>
      <c r="L499" s="979"/>
      <c r="M499" s="979"/>
      <c r="N499" s="979"/>
      <c r="O499" s="971"/>
      <c r="P499" s="976"/>
      <c r="Q499" s="929"/>
      <c r="R499" s="929"/>
      <c r="S499" s="966"/>
      <c r="T499" s="639"/>
    </row>
    <row r="500" spans="3:20" hidden="1" x14ac:dyDescent="0.15">
      <c r="C500" s="966">
        <v>1</v>
      </c>
      <c r="D500" s="969">
        <v>3</v>
      </c>
      <c r="E500" s="929">
        <v>1.5</v>
      </c>
      <c r="F500" s="929">
        <v>0.5</v>
      </c>
      <c r="G500" s="929"/>
      <c r="H500" s="929"/>
      <c r="I500" s="929"/>
      <c r="J500" s="929"/>
      <c r="K500" s="929"/>
      <c r="L500" s="979"/>
      <c r="M500" s="979"/>
      <c r="N500" s="979"/>
      <c r="O500" s="971">
        <f t="shared" ref="O500:O505" si="162">MAX(E500:K500)</f>
        <v>1.5</v>
      </c>
      <c r="P500" s="977" t="s">
        <v>1503</v>
      </c>
      <c r="Q500" s="929">
        <v>0.5</v>
      </c>
      <c r="R500" s="929">
        <v>1</v>
      </c>
      <c r="S500" s="966"/>
      <c r="T500" s="639"/>
    </row>
    <row r="501" spans="3:20" hidden="1" x14ac:dyDescent="0.15">
      <c r="C501" s="966">
        <v>2</v>
      </c>
      <c r="D501" s="969">
        <v>5</v>
      </c>
      <c r="E501" s="929">
        <v>2.5</v>
      </c>
      <c r="F501" s="929">
        <v>1.5</v>
      </c>
      <c r="G501" s="929">
        <v>0.5</v>
      </c>
      <c r="H501" s="929"/>
      <c r="I501" s="929"/>
      <c r="J501" s="929"/>
      <c r="K501" s="929"/>
      <c r="L501" s="979"/>
      <c r="M501" s="979"/>
      <c r="N501" s="979"/>
      <c r="O501" s="971">
        <f t="shared" si="162"/>
        <v>2.5</v>
      </c>
      <c r="P501" s="977" t="s">
        <v>1503</v>
      </c>
      <c r="Q501" s="929">
        <v>1.5</v>
      </c>
      <c r="R501" s="929">
        <f>+Q501</f>
        <v>1.5</v>
      </c>
      <c r="S501" s="966"/>
      <c r="T501" s="639"/>
    </row>
    <row r="502" spans="3:20" hidden="1" x14ac:dyDescent="0.15">
      <c r="C502" s="966">
        <v>3</v>
      </c>
      <c r="D502" s="969">
        <v>7</v>
      </c>
      <c r="E502" s="929">
        <v>3.5</v>
      </c>
      <c r="F502" s="929">
        <v>2.5</v>
      </c>
      <c r="G502" s="929">
        <v>1.5</v>
      </c>
      <c r="H502" s="929">
        <v>0.5</v>
      </c>
      <c r="I502" s="929"/>
      <c r="J502" s="929"/>
      <c r="K502" s="929"/>
      <c r="L502" s="979"/>
      <c r="M502" s="979"/>
      <c r="N502" s="979"/>
      <c r="O502" s="971">
        <f t="shared" si="162"/>
        <v>3.5</v>
      </c>
      <c r="P502" s="977" t="s">
        <v>1503</v>
      </c>
      <c r="Q502" s="929">
        <v>2.5</v>
      </c>
      <c r="R502" s="929">
        <f>+Q502</f>
        <v>2.5</v>
      </c>
      <c r="S502" s="966"/>
      <c r="T502" s="639"/>
    </row>
    <row r="503" spans="3:20" hidden="1" x14ac:dyDescent="0.15">
      <c r="C503" s="966">
        <v>4</v>
      </c>
      <c r="D503" s="969">
        <v>9</v>
      </c>
      <c r="E503" s="929">
        <v>4.5</v>
      </c>
      <c r="F503" s="929">
        <v>3.5</v>
      </c>
      <c r="G503" s="929">
        <v>2.5</v>
      </c>
      <c r="H503" s="929">
        <v>1.5</v>
      </c>
      <c r="I503" s="929">
        <v>0.5</v>
      </c>
      <c r="J503" s="929"/>
      <c r="K503" s="929"/>
      <c r="L503" s="979"/>
      <c r="M503" s="979"/>
      <c r="N503" s="979"/>
      <c r="O503" s="971">
        <f t="shared" si="162"/>
        <v>4.5</v>
      </c>
      <c r="P503" s="977" t="s">
        <v>1503</v>
      </c>
      <c r="Q503" s="929">
        <v>3.5</v>
      </c>
      <c r="R503" s="929">
        <f>+Q503</f>
        <v>3.5</v>
      </c>
      <c r="S503" s="966"/>
      <c r="T503" s="639"/>
    </row>
    <row r="504" spans="3:20" hidden="1" x14ac:dyDescent="0.15">
      <c r="C504" s="966">
        <v>5</v>
      </c>
      <c r="D504" s="969">
        <v>11</v>
      </c>
      <c r="E504" s="929">
        <v>5.5</v>
      </c>
      <c r="F504" s="929">
        <v>4.5</v>
      </c>
      <c r="G504" s="929">
        <v>3.5</v>
      </c>
      <c r="H504" s="929">
        <v>2.5</v>
      </c>
      <c r="I504" s="929">
        <v>1.5</v>
      </c>
      <c r="J504" s="929">
        <v>0.5</v>
      </c>
      <c r="K504" s="929"/>
      <c r="L504" s="979"/>
      <c r="M504" s="979"/>
      <c r="N504" s="979"/>
      <c r="O504" s="971">
        <f t="shared" si="162"/>
        <v>5.5</v>
      </c>
      <c r="P504" s="977" t="s">
        <v>1503</v>
      </c>
      <c r="Q504" s="929">
        <v>4.5</v>
      </c>
      <c r="R504" s="929">
        <f>+Q504</f>
        <v>4.5</v>
      </c>
      <c r="S504" s="966"/>
      <c r="T504" s="639"/>
    </row>
    <row r="505" spans="3:20" hidden="1" x14ac:dyDescent="0.15">
      <c r="C505" s="966">
        <v>6</v>
      </c>
      <c r="D505" s="969">
        <v>13</v>
      </c>
      <c r="E505" s="929">
        <v>6.5</v>
      </c>
      <c r="F505" s="929">
        <v>5.5</v>
      </c>
      <c r="G505" s="929">
        <v>4.5</v>
      </c>
      <c r="H505" s="929">
        <v>3.5</v>
      </c>
      <c r="I505" s="929">
        <v>2.5</v>
      </c>
      <c r="J505" s="929">
        <v>1.5</v>
      </c>
      <c r="K505" s="929">
        <v>0.5</v>
      </c>
      <c r="L505" s="979"/>
      <c r="M505" s="979"/>
      <c r="N505" s="979"/>
      <c r="O505" s="971">
        <f t="shared" si="162"/>
        <v>6.5</v>
      </c>
      <c r="P505" s="977" t="s">
        <v>1503</v>
      </c>
      <c r="Q505" s="929">
        <v>5.5</v>
      </c>
      <c r="R505" s="929">
        <f>+Q505</f>
        <v>5.5</v>
      </c>
      <c r="S505" s="966"/>
      <c r="T505" s="639"/>
    </row>
    <row r="506" spans="3:20" hidden="1" x14ac:dyDescent="0.15">
      <c r="C506" s="966">
        <v>7</v>
      </c>
      <c r="D506" s="969"/>
      <c r="E506" s="929"/>
      <c r="F506" s="929"/>
      <c r="G506" s="929"/>
      <c r="H506" s="929"/>
      <c r="I506" s="929"/>
      <c r="J506" s="929"/>
      <c r="K506" s="978"/>
      <c r="L506" s="978"/>
      <c r="M506" s="978"/>
      <c r="N506" s="978"/>
      <c r="O506" s="976"/>
      <c r="P506" s="976"/>
      <c r="Q506" s="929">
        <v>1</v>
      </c>
      <c r="R506" s="929">
        <v>1</v>
      </c>
      <c r="S506" s="966"/>
      <c r="T506" s="639"/>
    </row>
    <row r="507" spans="3:20" hidden="1" x14ac:dyDescent="0.15">
      <c r="C507" s="639"/>
      <c r="D507" s="969"/>
      <c r="E507" s="1730" t="s">
        <v>1504</v>
      </c>
      <c r="F507" s="1730"/>
      <c r="G507" s="1730" t="s">
        <v>1505</v>
      </c>
      <c r="H507" s="1730"/>
      <c r="I507" s="1730" t="s">
        <v>1506</v>
      </c>
      <c r="J507" s="1730"/>
      <c r="K507" s="978"/>
      <c r="L507" s="978"/>
      <c r="M507" s="978"/>
      <c r="N507" s="978"/>
      <c r="O507" s="966"/>
      <c r="P507" s="966"/>
      <c r="Q507" s="966"/>
      <c r="R507" s="966"/>
      <c r="S507" s="639"/>
      <c r="T507" s="639"/>
    </row>
    <row r="508" spans="3:20" hidden="1" x14ac:dyDescent="0.15">
      <c r="C508" s="639"/>
      <c r="D508" s="969"/>
      <c r="E508" s="979"/>
      <c r="F508" s="980"/>
      <c r="G508" s="979"/>
      <c r="H508" s="980"/>
      <c r="I508" s="979"/>
      <c r="J508" s="980"/>
      <c r="K508" s="978"/>
      <c r="L508" s="978"/>
      <c r="M508" s="978"/>
      <c r="N508" s="978"/>
      <c r="O508" s="966"/>
      <c r="P508" s="966"/>
      <c r="Q508" s="966"/>
      <c r="R508" s="639"/>
      <c r="S508" s="639"/>
      <c r="T508" s="639"/>
    </row>
    <row r="509" spans="3:20" hidden="1" x14ac:dyDescent="0.15">
      <c r="C509" s="639"/>
      <c r="D509" s="969">
        <v>3</v>
      </c>
      <c r="E509" s="979">
        <v>0.5</v>
      </c>
      <c r="F509" s="980" t="s">
        <v>1503</v>
      </c>
      <c r="G509" s="979">
        <v>1.5</v>
      </c>
      <c r="H509" s="980" t="s">
        <v>1503</v>
      </c>
      <c r="I509" s="979">
        <v>1</v>
      </c>
      <c r="J509" s="980" t="s">
        <v>1503</v>
      </c>
      <c r="K509" s="978"/>
      <c r="L509" s="978"/>
      <c r="M509" s="978"/>
      <c r="N509" s="978"/>
      <c r="O509" s="966"/>
      <c r="P509" s="966"/>
      <c r="Q509" s="966"/>
      <c r="R509" s="639"/>
      <c r="S509" s="639"/>
      <c r="T509" s="639"/>
    </row>
    <row r="510" spans="3:20" hidden="1" x14ac:dyDescent="0.15">
      <c r="C510" s="639"/>
      <c r="D510" s="969">
        <v>5</v>
      </c>
      <c r="E510" s="979">
        <v>0.5</v>
      </c>
      <c r="F510" s="980" t="s">
        <v>1503</v>
      </c>
      <c r="G510" s="979">
        <v>2.5</v>
      </c>
      <c r="H510" s="980" t="s">
        <v>1503</v>
      </c>
      <c r="I510" s="979">
        <v>1</v>
      </c>
      <c r="J510" s="980" t="s">
        <v>1503</v>
      </c>
      <c r="K510" s="978"/>
      <c r="L510" s="978"/>
      <c r="M510" s="978"/>
      <c r="N510" s="978"/>
      <c r="O510" s="966"/>
      <c r="P510" s="966"/>
      <c r="Q510" s="966"/>
      <c r="R510" s="639"/>
      <c r="S510" s="639"/>
      <c r="T510" s="639"/>
    </row>
    <row r="511" spans="3:20" hidden="1" x14ac:dyDescent="0.15">
      <c r="C511" s="639"/>
      <c r="D511" s="969">
        <v>7</v>
      </c>
      <c r="E511" s="979">
        <v>0.5</v>
      </c>
      <c r="F511" s="980" t="s">
        <v>1503</v>
      </c>
      <c r="G511" s="979">
        <v>3.5</v>
      </c>
      <c r="H511" s="980" t="s">
        <v>1503</v>
      </c>
      <c r="I511" s="979">
        <v>1</v>
      </c>
      <c r="J511" s="980" t="s">
        <v>1503</v>
      </c>
      <c r="K511" s="978"/>
      <c r="L511" s="978"/>
      <c r="M511" s="978"/>
      <c r="N511" s="978"/>
      <c r="O511" s="966"/>
      <c r="P511" s="966"/>
      <c r="Q511" s="966"/>
      <c r="R511" s="639"/>
      <c r="S511" s="639"/>
      <c r="T511" s="639"/>
    </row>
    <row r="512" spans="3:20" hidden="1" x14ac:dyDescent="0.15">
      <c r="C512" s="639"/>
      <c r="D512" s="969">
        <v>9</v>
      </c>
      <c r="E512" s="979">
        <v>0.5</v>
      </c>
      <c r="F512" s="980" t="s">
        <v>1503</v>
      </c>
      <c r="G512" s="979">
        <v>4.5</v>
      </c>
      <c r="H512" s="980" t="s">
        <v>1503</v>
      </c>
      <c r="I512" s="979">
        <v>1</v>
      </c>
      <c r="J512" s="980" t="s">
        <v>1503</v>
      </c>
      <c r="K512" s="981"/>
      <c r="L512" s="981"/>
      <c r="M512" s="981"/>
      <c r="N512" s="981"/>
      <c r="O512" s="639"/>
      <c r="P512" s="639"/>
      <c r="Q512" s="639"/>
      <c r="R512" s="639"/>
      <c r="S512" s="639"/>
      <c r="T512" s="639"/>
    </row>
    <row r="513" spans="3:20" hidden="1" x14ac:dyDescent="0.15">
      <c r="C513" s="639"/>
      <c r="D513" s="969">
        <v>11</v>
      </c>
      <c r="E513" s="979">
        <v>0.5</v>
      </c>
      <c r="F513" s="980" t="s">
        <v>1503</v>
      </c>
      <c r="G513" s="979">
        <v>5.5</v>
      </c>
      <c r="H513" s="980" t="s">
        <v>1503</v>
      </c>
      <c r="I513" s="979">
        <v>1</v>
      </c>
      <c r="J513" s="980" t="s">
        <v>1503</v>
      </c>
      <c r="K513" s="981"/>
      <c r="L513" s="981"/>
      <c r="M513" s="981"/>
      <c r="N513" s="981"/>
      <c r="O513" s="639"/>
      <c r="P513" s="639"/>
      <c r="Q513" s="639"/>
      <c r="R513" s="639"/>
      <c r="S513" s="639"/>
      <c r="T513" s="639"/>
    </row>
    <row r="514" spans="3:20" hidden="1" x14ac:dyDescent="0.15">
      <c r="C514" s="639"/>
      <c r="D514" s="969">
        <v>13</v>
      </c>
      <c r="E514" s="979">
        <v>0.5</v>
      </c>
      <c r="F514" s="980" t="s">
        <v>1503</v>
      </c>
      <c r="G514" s="979">
        <v>6.5</v>
      </c>
      <c r="H514" s="980" t="s">
        <v>1503</v>
      </c>
      <c r="I514" s="979">
        <v>1</v>
      </c>
      <c r="J514" s="980" t="s">
        <v>1503</v>
      </c>
      <c r="K514" s="981"/>
      <c r="L514" s="981"/>
      <c r="M514" s="981"/>
      <c r="N514" s="981"/>
      <c r="O514" s="639"/>
      <c r="P514" s="639"/>
      <c r="Q514" s="639"/>
      <c r="R514" s="639"/>
      <c r="S514" s="639"/>
      <c r="T514" s="639"/>
    </row>
    <row r="515" spans="3:20" hidden="1" x14ac:dyDescent="0.15"/>
    <row r="516" spans="3:20" hidden="1" x14ac:dyDescent="0.15"/>
    <row r="517" spans="3:20" hidden="1" x14ac:dyDescent="0.15">
      <c r="C517" s="60">
        <v>2</v>
      </c>
    </row>
    <row r="518" spans="3:20" hidden="1" x14ac:dyDescent="0.15">
      <c r="C518" s="60">
        <v>3</v>
      </c>
    </row>
    <row r="519" spans="3:20" hidden="1" x14ac:dyDescent="0.15">
      <c r="C519" s="60">
        <v>4</v>
      </c>
    </row>
  </sheetData>
  <sheetProtection password="CC2D" sheet="1" objects="1" scenarios="1"/>
  <mergeCells count="38">
    <mergeCell ref="E2:F2"/>
    <mergeCell ref="G2:H2"/>
    <mergeCell ref="C6:C10"/>
    <mergeCell ref="C23:D23"/>
    <mergeCell ref="C24:C25"/>
    <mergeCell ref="C104:C108"/>
    <mergeCell ref="C110:C113"/>
    <mergeCell ref="C115:C121"/>
    <mergeCell ref="C29:C33"/>
    <mergeCell ref="B2:B25"/>
    <mergeCell ref="K377:O377"/>
    <mergeCell ref="G378:G380"/>
    <mergeCell ref="H378:H379"/>
    <mergeCell ref="I378:I380"/>
    <mergeCell ref="J378:J380"/>
    <mergeCell ref="K378:S378"/>
    <mergeCell ref="Q479:R479"/>
    <mergeCell ref="O480:P480"/>
    <mergeCell ref="O489:P489"/>
    <mergeCell ref="O498:P498"/>
    <mergeCell ref="E507:F507"/>
    <mergeCell ref="G507:H507"/>
    <mergeCell ref="I507:J507"/>
    <mergeCell ref="E26:J26"/>
    <mergeCell ref="K26:O26"/>
    <mergeCell ref="C35:C38"/>
    <mergeCell ref="C40:C46"/>
    <mergeCell ref="E51:N51"/>
    <mergeCell ref="E101:I101"/>
    <mergeCell ref="J101:N101"/>
    <mergeCell ref="C54:C58"/>
    <mergeCell ref="C60:C63"/>
    <mergeCell ref="C65:C71"/>
    <mergeCell ref="E76:I76"/>
    <mergeCell ref="J76:N76"/>
    <mergeCell ref="C79:C83"/>
    <mergeCell ref="C85:C88"/>
    <mergeCell ref="C90:C96"/>
  </mergeCells>
  <phoneticPr fontId="3"/>
  <dataValidations count="7">
    <dataValidation type="list" allowBlank="1" showInputMessage="1" showErrorMessage="1" sqref="E5 I5:J5 G5" xr:uid="{00000000-0002-0000-0C00-000000000000}">
      <formula1>$G$399:$G$416</formula1>
    </dataValidation>
    <dataValidation type="list" allowBlank="1" showInputMessage="1" showErrorMessage="1" sqref="E39:O39 E89:N89 E114:N114 E64:N64" xr:uid="{00000000-0002-0000-0C00-000001000000}">
      <formula1>$C$454:$C$457</formula1>
    </dataValidation>
    <dataValidation type="list" allowBlank="1" showInputMessage="1" showErrorMessage="1" sqref="F5 H5" xr:uid="{00000000-0002-0000-0C00-000002000000}">
      <formula1>$E$439:$E$441</formula1>
    </dataValidation>
    <dataValidation type="list" allowBlank="1" showInputMessage="1" showErrorMessage="1" sqref="E2:F2" xr:uid="{00000000-0002-0000-0C00-000003000000}">
      <formula1>$E$347:$E$348</formula1>
    </dataValidation>
    <dataValidation type="list" allowBlank="1" showInputMessage="1" showErrorMessage="1" sqref="G2:H2" xr:uid="{00000000-0002-0000-0C00-000004000000}">
      <formula1>$G$347:$G$348</formula1>
    </dataValidation>
    <dataValidation type="list" allowBlank="1" showInputMessage="1" showErrorMessage="1" sqref="I2" xr:uid="{00000000-0002-0000-0C00-000005000000}">
      <formula1>$I$347:$I$348</formula1>
    </dataValidation>
    <dataValidation type="list" allowBlank="1" showInputMessage="1" showErrorMessage="1" sqref="J2" xr:uid="{00000000-0002-0000-0C00-000006000000}">
      <formula1>$J$347:$J$348</formula1>
    </dataValidation>
  </dataValidations>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L84"/>
  <sheetViews>
    <sheetView showGridLines="0" showRowColHeaders="0" workbookViewId="0">
      <selection activeCell="F40" sqref="F40"/>
    </sheetView>
  </sheetViews>
  <sheetFormatPr defaultRowHeight="14.25" x14ac:dyDescent="0.15"/>
  <cols>
    <col min="1" max="1" width="3.625" style="3" customWidth="1"/>
    <col min="2" max="2" width="3.25" style="3" customWidth="1"/>
    <col min="3" max="3" width="4" style="3" customWidth="1"/>
    <col min="4" max="4" width="4.25" style="3" customWidth="1"/>
    <col min="5" max="5" width="9" style="3"/>
    <col min="6" max="6" width="5.625" style="3" customWidth="1"/>
    <col min="7" max="9" width="9" style="3"/>
    <col min="10" max="10" width="5.125" style="3" customWidth="1"/>
    <col min="11" max="17" width="9" style="3"/>
    <col min="18" max="18" width="5.875" style="3" customWidth="1"/>
    <col min="19" max="16384" width="9" style="3"/>
  </cols>
  <sheetData>
    <row r="3" spans="2:12" x14ac:dyDescent="0.15">
      <c r="B3" s="2"/>
      <c r="C3" s="2"/>
      <c r="D3" s="2"/>
      <c r="E3" s="2"/>
      <c r="F3" s="2"/>
      <c r="G3" s="2"/>
      <c r="H3" s="2"/>
      <c r="I3" s="2"/>
      <c r="J3" s="2"/>
      <c r="K3" s="2"/>
      <c r="L3" s="2"/>
    </row>
    <row r="4" spans="2:12" x14ac:dyDescent="0.15">
      <c r="B4" s="2"/>
      <c r="C4" s="2"/>
      <c r="D4" s="2"/>
      <c r="E4" s="2"/>
      <c r="F4" s="2"/>
      <c r="G4" s="2"/>
      <c r="H4" s="2"/>
      <c r="I4" s="2"/>
      <c r="J4" s="2"/>
      <c r="K4" s="2"/>
      <c r="L4" s="2"/>
    </row>
    <row r="5" spans="2:12" x14ac:dyDescent="0.15">
      <c r="B5" s="2"/>
      <c r="C5" s="2"/>
      <c r="D5" s="2"/>
      <c r="E5" s="2"/>
      <c r="F5" s="2"/>
      <c r="G5" s="2"/>
      <c r="H5" s="2"/>
      <c r="I5" s="2"/>
      <c r="J5" s="2"/>
      <c r="K5" s="2"/>
      <c r="L5" s="2"/>
    </row>
    <row r="6" spans="2:12" x14ac:dyDescent="0.15">
      <c r="B6" s="2"/>
      <c r="C6" s="2"/>
      <c r="D6" s="2"/>
      <c r="E6" s="2"/>
      <c r="F6" s="2"/>
      <c r="G6" s="2"/>
      <c r="H6" s="2"/>
      <c r="I6" s="2"/>
      <c r="J6" s="2"/>
      <c r="K6" s="2"/>
      <c r="L6" s="2"/>
    </row>
    <row r="7" spans="2:12" x14ac:dyDescent="0.15">
      <c r="B7" s="2"/>
      <c r="C7" s="2"/>
      <c r="D7" s="2"/>
      <c r="E7" s="2"/>
      <c r="F7" s="2"/>
      <c r="G7" s="2"/>
      <c r="H7" s="2"/>
      <c r="I7" s="2"/>
      <c r="J7" s="2"/>
      <c r="K7" s="2"/>
      <c r="L7" s="2"/>
    </row>
    <row r="8" spans="2:12" x14ac:dyDescent="0.15">
      <c r="B8" s="2"/>
      <c r="C8" s="2"/>
      <c r="D8" s="2"/>
      <c r="E8" s="2"/>
      <c r="F8" s="2"/>
      <c r="G8" s="2"/>
      <c r="H8" s="2"/>
      <c r="I8" s="2"/>
      <c r="J8" s="2"/>
      <c r="K8" s="2"/>
      <c r="L8" s="2"/>
    </row>
    <row r="9" spans="2:12" x14ac:dyDescent="0.15">
      <c r="B9" s="2"/>
      <c r="C9" s="2"/>
      <c r="D9" s="2"/>
      <c r="E9" s="2"/>
      <c r="F9" s="2"/>
      <c r="G9" s="2"/>
      <c r="H9" s="2"/>
      <c r="I9" s="2"/>
      <c r="J9" s="2"/>
      <c r="K9" s="2"/>
      <c r="L9" s="2"/>
    </row>
    <row r="10" spans="2:12" x14ac:dyDescent="0.15">
      <c r="B10" s="2"/>
      <c r="C10" s="2"/>
      <c r="D10" s="2"/>
      <c r="E10" s="2"/>
      <c r="F10" s="2"/>
      <c r="G10" s="2"/>
      <c r="H10" s="2"/>
      <c r="I10" s="2"/>
      <c r="J10" s="2"/>
      <c r="K10" s="2"/>
      <c r="L10" s="2"/>
    </row>
    <row r="11" spans="2:12" x14ac:dyDescent="0.15">
      <c r="B11" s="2"/>
      <c r="C11" s="2"/>
      <c r="D11" s="2"/>
      <c r="E11" s="2"/>
      <c r="F11" s="2"/>
      <c r="G11" s="2"/>
      <c r="H11" s="2"/>
      <c r="I11" s="2"/>
      <c r="J11" s="2"/>
      <c r="K11" s="2"/>
      <c r="L11" s="2"/>
    </row>
    <row r="12" spans="2:12" x14ac:dyDescent="0.15">
      <c r="B12" s="2"/>
      <c r="C12" s="2"/>
      <c r="D12" s="2"/>
      <c r="E12" s="2"/>
      <c r="F12" s="2"/>
      <c r="G12" s="2"/>
      <c r="H12" s="2"/>
      <c r="I12" s="2"/>
      <c r="J12" s="2"/>
      <c r="K12" s="2"/>
      <c r="L12" s="2"/>
    </row>
    <row r="13" spans="2:12" x14ac:dyDescent="0.15">
      <c r="B13" s="2"/>
      <c r="C13" s="2"/>
      <c r="D13" s="2"/>
      <c r="E13" s="2"/>
      <c r="F13" s="2"/>
      <c r="G13" s="2"/>
      <c r="H13" s="2"/>
      <c r="I13" s="2"/>
      <c r="J13" s="2"/>
      <c r="K13" s="2"/>
      <c r="L13" s="2"/>
    </row>
    <row r="14" spans="2:12" x14ac:dyDescent="0.15">
      <c r="B14" s="2"/>
      <c r="C14" s="2"/>
      <c r="D14" s="2"/>
      <c r="E14" s="2"/>
      <c r="F14" s="2"/>
      <c r="G14" s="2"/>
      <c r="H14" s="2"/>
      <c r="I14" s="2"/>
      <c r="J14" s="2"/>
      <c r="K14" s="2"/>
      <c r="L14" s="2"/>
    </row>
    <row r="15" spans="2:12" x14ac:dyDescent="0.15">
      <c r="B15" s="2"/>
      <c r="C15" s="2"/>
      <c r="D15" s="2"/>
      <c r="E15" s="2"/>
      <c r="F15" s="2"/>
      <c r="G15" s="2"/>
      <c r="H15" s="2"/>
      <c r="I15" s="2"/>
      <c r="J15" s="2"/>
      <c r="K15" s="2"/>
      <c r="L15" s="2"/>
    </row>
    <row r="16" spans="2:12" x14ac:dyDescent="0.15">
      <c r="B16" s="2"/>
      <c r="C16" s="2"/>
      <c r="D16" s="2"/>
      <c r="E16" s="2"/>
      <c r="F16" s="2"/>
      <c r="G16" s="2"/>
      <c r="H16" s="2"/>
      <c r="I16" s="2"/>
      <c r="J16" s="2"/>
      <c r="K16" s="2"/>
      <c r="L16" s="2"/>
    </row>
    <row r="17" spans="2:12" x14ac:dyDescent="0.15">
      <c r="B17" s="2"/>
      <c r="C17" s="2"/>
      <c r="D17" s="2"/>
      <c r="E17" s="2"/>
      <c r="F17" s="2"/>
      <c r="G17" s="2"/>
      <c r="H17" s="2"/>
      <c r="I17" s="2"/>
      <c r="J17" s="2"/>
      <c r="K17" s="2"/>
      <c r="L17" s="2"/>
    </row>
    <row r="18" spans="2:12" x14ac:dyDescent="0.15">
      <c r="B18" s="2"/>
      <c r="C18" s="2"/>
      <c r="D18" s="2"/>
      <c r="E18" s="2"/>
      <c r="F18" s="2"/>
      <c r="G18" s="2"/>
      <c r="H18" s="2"/>
      <c r="I18" s="2"/>
      <c r="J18" s="2"/>
      <c r="K18" s="2"/>
      <c r="L18" s="2"/>
    </row>
    <row r="19" spans="2:12" x14ac:dyDescent="0.15">
      <c r="B19" s="2"/>
      <c r="C19" s="2"/>
      <c r="D19" s="2"/>
      <c r="E19" s="2"/>
      <c r="F19" s="2"/>
      <c r="G19" s="2"/>
      <c r="H19" s="2"/>
      <c r="I19" s="2"/>
      <c r="J19" s="2"/>
      <c r="K19" s="2"/>
      <c r="L19" s="2"/>
    </row>
    <row r="20" spans="2:12" x14ac:dyDescent="0.15">
      <c r="B20" s="2"/>
      <c r="C20" s="2"/>
      <c r="D20" s="2"/>
      <c r="E20" s="2"/>
      <c r="F20" s="2"/>
      <c r="G20" s="2"/>
      <c r="H20" s="2"/>
      <c r="I20" s="2"/>
      <c r="J20" s="2"/>
      <c r="K20" s="2"/>
      <c r="L20" s="2"/>
    </row>
    <row r="21" spans="2:12" x14ac:dyDescent="0.15">
      <c r="B21" s="2"/>
      <c r="C21" s="2"/>
      <c r="D21" s="2"/>
      <c r="E21" s="2"/>
      <c r="F21" s="2"/>
      <c r="G21" s="2"/>
      <c r="H21" s="2"/>
      <c r="I21" s="2"/>
      <c r="J21" s="2"/>
      <c r="K21" s="2"/>
      <c r="L21" s="2"/>
    </row>
    <row r="22" spans="2:12" x14ac:dyDescent="0.15">
      <c r="B22" s="2"/>
      <c r="C22" s="2"/>
      <c r="D22" s="2"/>
      <c r="E22" s="2"/>
      <c r="F22" s="2"/>
      <c r="G22" s="2"/>
      <c r="H22" s="2"/>
      <c r="I22" s="2"/>
      <c r="J22" s="2"/>
      <c r="K22" s="2"/>
      <c r="L22" s="2"/>
    </row>
    <row r="23" spans="2:12" x14ac:dyDescent="0.15">
      <c r="B23" s="2"/>
      <c r="C23" s="2"/>
      <c r="D23" s="2"/>
      <c r="E23" s="2"/>
      <c r="F23" s="2"/>
      <c r="G23" s="2"/>
      <c r="H23" s="2"/>
      <c r="I23" s="2"/>
      <c r="J23" s="2"/>
      <c r="K23" s="2"/>
      <c r="L23" s="2"/>
    </row>
    <row r="24" spans="2:12" x14ac:dyDescent="0.15">
      <c r="B24" s="2"/>
      <c r="C24" s="2"/>
      <c r="D24" s="2"/>
      <c r="E24" s="2"/>
      <c r="F24" s="2"/>
      <c r="G24" s="2"/>
      <c r="H24" s="2"/>
      <c r="I24" s="2"/>
      <c r="J24" s="2"/>
      <c r="K24" s="2"/>
      <c r="L24" s="2"/>
    </row>
    <row r="25" spans="2:12" x14ac:dyDescent="0.15">
      <c r="B25" s="2"/>
      <c r="C25" s="2"/>
      <c r="D25" s="2"/>
      <c r="E25" s="2"/>
      <c r="F25" s="2"/>
      <c r="G25" s="2"/>
      <c r="H25" s="2"/>
      <c r="I25" s="2"/>
      <c r="J25" s="2"/>
      <c r="K25" s="2"/>
      <c r="L25" s="2"/>
    </row>
    <row r="26" spans="2:12" x14ac:dyDescent="0.15">
      <c r="B26" s="2"/>
      <c r="C26" s="2"/>
      <c r="D26" s="2"/>
      <c r="E26" s="2"/>
      <c r="F26" s="2"/>
      <c r="G26" s="2"/>
      <c r="H26" s="2"/>
      <c r="I26" s="2"/>
      <c r="J26" s="2"/>
      <c r="K26" s="2"/>
      <c r="L26" s="2"/>
    </row>
    <row r="27" spans="2:12" x14ac:dyDescent="0.15">
      <c r="B27" s="2"/>
      <c r="C27" s="2"/>
      <c r="D27" s="2"/>
      <c r="E27" s="2"/>
      <c r="F27" s="2"/>
      <c r="G27" s="2"/>
      <c r="H27" s="2"/>
      <c r="I27" s="2"/>
      <c r="J27" s="2"/>
      <c r="K27" s="2"/>
      <c r="L27" s="2"/>
    </row>
    <row r="28" spans="2:12" x14ac:dyDescent="0.15">
      <c r="B28" s="2"/>
      <c r="C28" s="2"/>
      <c r="D28" s="2"/>
      <c r="E28" s="2"/>
      <c r="F28" s="2"/>
      <c r="G28" s="2"/>
      <c r="H28" s="2"/>
      <c r="I28" s="2"/>
      <c r="J28" s="2"/>
      <c r="K28" s="2"/>
      <c r="L28" s="2"/>
    </row>
    <row r="29" spans="2:12" x14ac:dyDescent="0.15">
      <c r="B29" s="2"/>
      <c r="C29" s="2"/>
      <c r="D29" s="2"/>
      <c r="E29" s="2"/>
      <c r="F29" s="2"/>
      <c r="G29" s="2"/>
      <c r="H29" s="2"/>
      <c r="I29" s="2"/>
      <c r="J29" s="2"/>
      <c r="K29" s="2"/>
      <c r="L29" s="2"/>
    </row>
    <row r="30" spans="2:12" x14ac:dyDescent="0.15">
      <c r="B30" s="2"/>
      <c r="C30" s="2"/>
      <c r="D30" s="2"/>
      <c r="E30" s="2"/>
      <c r="F30" s="2"/>
      <c r="G30" s="2"/>
      <c r="H30" s="2"/>
      <c r="I30" s="2"/>
      <c r="J30" s="2"/>
      <c r="K30" s="2"/>
      <c r="L30" s="2"/>
    </row>
    <row r="31" spans="2:12" x14ac:dyDescent="0.15">
      <c r="B31" s="2"/>
      <c r="C31" s="2"/>
      <c r="D31" s="2"/>
      <c r="E31" s="2"/>
      <c r="F31" s="2"/>
      <c r="G31" s="2"/>
      <c r="H31" s="2"/>
      <c r="I31" s="2"/>
      <c r="J31" s="2"/>
      <c r="K31" s="2"/>
      <c r="L31" s="2"/>
    </row>
    <row r="32" spans="2:12" x14ac:dyDescent="0.15">
      <c r="B32" s="2"/>
      <c r="C32" s="2"/>
      <c r="D32" s="2"/>
      <c r="E32" s="2"/>
      <c r="F32" s="2"/>
      <c r="G32" s="2"/>
      <c r="H32" s="2"/>
      <c r="I32" s="2"/>
      <c r="J32" s="2"/>
      <c r="K32" s="2"/>
      <c r="L32" s="2"/>
    </row>
    <row r="33" spans="2:12" x14ac:dyDescent="0.15">
      <c r="B33" s="2"/>
      <c r="C33" s="2"/>
      <c r="D33" s="2"/>
      <c r="E33" s="2"/>
      <c r="F33" s="2"/>
      <c r="G33" s="2"/>
      <c r="H33" s="2"/>
      <c r="I33" s="2"/>
      <c r="J33" s="2"/>
      <c r="K33" s="2"/>
      <c r="L33" s="2"/>
    </row>
    <row r="34" spans="2:12" x14ac:dyDescent="0.15">
      <c r="B34" s="2"/>
      <c r="C34" s="2"/>
      <c r="D34" s="2"/>
      <c r="E34" s="2"/>
      <c r="F34" s="2"/>
      <c r="G34" s="2"/>
      <c r="H34" s="2"/>
      <c r="I34" s="2"/>
      <c r="J34" s="2"/>
      <c r="K34" s="2"/>
      <c r="L34" s="2"/>
    </row>
    <row r="35" spans="2:12" x14ac:dyDescent="0.15">
      <c r="B35" s="2"/>
      <c r="C35" s="2"/>
      <c r="D35" s="2"/>
      <c r="E35" s="2"/>
      <c r="F35" s="2"/>
      <c r="G35" s="2"/>
      <c r="H35" s="2"/>
      <c r="I35" s="2"/>
      <c r="J35" s="2"/>
      <c r="K35" s="2"/>
      <c r="L35" s="2"/>
    </row>
    <row r="36" spans="2:12" x14ac:dyDescent="0.15">
      <c r="B36" s="2"/>
      <c r="C36" s="2"/>
      <c r="D36" s="2"/>
      <c r="E36" s="2"/>
      <c r="F36" s="2"/>
      <c r="G36" s="2"/>
      <c r="H36" s="2"/>
      <c r="I36" s="2"/>
      <c r="J36" s="2"/>
      <c r="K36" s="2"/>
      <c r="L36" s="2"/>
    </row>
    <row r="37" spans="2:12" x14ac:dyDescent="0.15">
      <c r="B37" s="2"/>
      <c r="C37" s="2"/>
      <c r="D37" s="2"/>
      <c r="E37" s="2"/>
      <c r="F37" s="2"/>
      <c r="G37" s="2"/>
      <c r="H37" s="2"/>
      <c r="I37" s="2"/>
      <c r="J37" s="2"/>
      <c r="K37" s="2"/>
      <c r="L37" s="2"/>
    </row>
    <row r="38" spans="2:12" x14ac:dyDescent="0.15">
      <c r="B38" s="2"/>
      <c r="C38" s="2"/>
      <c r="D38" s="2"/>
      <c r="E38" s="2"/>
      <c r="F38" s="2"/>
      <c r="G38" s="2"/>
      <c r="H38" s="2"/>
      <c r="I38" s="2"/>
      <c r="J38" s="2"/>
      <c r="K38" s="2"/>
      <c r="L38" s="2"/>
    </row>
    <row r="39" spans="2:12" x14ac:dyDescent="0.15">
      <c r="B39" s="2"/>
      <c r="C39" s="2"/>
      <c r="D39" s="2"/>
      <c r="E39" s="2"/>
      <c r="F39" s="2"/>
      <c r="G39" s="2"/>
      <c r="H39" s="2"/>
      <c r="I39" s="2"/>
      <c r="J39" s="2"/>
      <c r="K39" s="2"/>
      <c r="L39" s="2"/>
    </row>
    <row r="40" spans="2:12" x14ac:dyDescent="0.15">
      <c r="B40" s="2"/>
      <c r="C40" s="2"/>
      <c r="D40" s="2"/>
      <c r="E40" s="2"/>
      <c r="F40" s="2"/>
      <c r="G40" s="2"/>
      <c r="H40" s="2"/>
      <c r="I40" s="2"/>
      <c r="J40" s="2"/>
      <c r="K40" s="2"/>
      <c r="L40" s="2"/>
    </row>
    <row r="41" spans="2:12" x14ac:dyDescent="0.15">
      <c r="B41" s="2"/>
      <c r="C41" s="2"/>
      <c r="D41" s="2"/>
      <c r="E41" s="2"/>
      <c r="F41" s="2"/>
      <c r="G41" s="2"/>
      <c r="H41" s="2"/>
      <c r="I41" s="2"/>
      <c r="J41" s="2"/>
      <c r="K41" s="2"/>
      <c r="L41" s="2"/>
    </row>
    <row r="42" spans="2:12" x14ac:dyDescent="0.15">
      <c r="B42" s="2"/>
      <c r="C42" s="2"/>
      <c r="D42" s="2"/>
      <c r="E42" s="2"/>
      <c r="F42" s="2"/>
      <c r="G42" s="2"/>
      <c r="H42" s="2"/>
      <c r="I42" s="2"/>
      <c r="J42" s="2"/>
      <c r="K42" s="2"/>
      <c r="L42" s="2"/>
    </row>
    <row r="43" spans="2:12" x14ac:dyDescent="0.15">
      <c r="B43" s="2"/>
      <c r="C43" s="2"/>
      <c r="D43" s="2"/>
      <c r="E43" s="2"/>
      <c r="F43" s="2"/>
      <c r="G43" s="2"/>
      <c r="H43" s="2"/>
      <c r="I43" s="2"/>
      <c r="J43" s="2"/>
      <c r="K43" s="2"/>
      <c r="L43" s="2"/>
    </row>
    <row r="44" spans="2:12" x14ac:dyDescent="0.15">
      <c r="B44" s="2"/>
      <c r="C44" s="2"/>
      <c r="D44" s="2"/>
      <c r="E44" s="2"/>
      <c r="F44" s="2"/>
      <c r="G44" s="2"/>
      <c r="H44" s="2"/>
      <c r="I44" s="2"/>
      <c r="J44" s="2"/>
      <c r="K44" s="2"/>
      <c r="L44" s="2"/>
    </row>
    <row r="45" spans="2:12" x14ac:dyDescent="0.15">
      <c r="B45" s="2"/>
      <c r="C45" s="2"/>
      <c r="D45" s="2"/>
      <c r="E45" s="2"/>
      <c r="F45" s="2"/>
      <c r="G45" s="2"/>
      <c r="H45" s="2"/>
      <c r="I45" s="2"/>
      <c r="J45" s="2"/>
      <c r="K45" s="2"/>
      <c r="L45" s="2"/>
    </row>
    <row r="46" spans="2:12" x14ac:dyDescent="0.15">
      <c r="B46" s="2"/>
      <c r="C46" s="2"/>
      <c r="D46" s="2"/>
      <c r="E46" s="2"/>
      <c r="F46" s="2"/>
      <c r="G46" s="2"/>
      <c r="H46" s="2"/>
      <c r="I46" s="2"/>
      <c r="J46" s="2"/>
      <c r="K46" s="2"/>
      <c r="L46" s="2"/>
    </row>
    <row r="47" spans="2:12" x14ac:dyDescent="0.15">
      <c r="B47" s="2"/>
      <c r="C47" s="2"/>
      <c r="D47" s="2"/>
      <c r="E47" s="2"/>
      <c r="F47" s="2"/>
      <c r="G47" s="2"/>
      <c r="H47" s="2"/>
      <c r="I47" s="2"/>
      <c r="J47" s="2"/>
      <c r="K47" s="2"/>
      <c r="L47" s="2"/>
    </row>
    <row r="48" spans="2:12" x14ac:dyDescent="0.15">
      <c r="B48" s="2"/>
      <c r="C48" s="2"/>
      <c r="D48" s="2"/>
      <c r="E48" s="2"/>
      <c r="F48" s="2"/>
      <c r="G48" s="2"/>
      <c r="H48" s="2"/>
      <c r="I48" s="2"/>
      <c r="J48" s="2"/>
      <c r="K48" s="2"/>
      <c r="L48" s="2"/>
    </row>
    <row r="49" spans="2:12" x14ac:dyDescent="0.15">
      <c r="B49" s="2"/>
      <c r="C49" s="2"/>
      <c r="D49" s="2"/>
      <c r="E49" s="2"/>
      <c r="F49" s="2"/>
      <c r="G49" s="2"/>
      <c r="H49" s="2"/>
      <c r="I49" s="2"/>
      <c r="J49" s="2"/>
      <c r="K49" s="2"/>
      <c r="L49" s="2"/>
    </row>
    <row r="50" spans="2:12" x14ac:dyDescent="0.15">
      <c r="B50" s="2"/>
      <c r="C50" s="2"/>
      <c r="D50" s="2"/>
      <c r="E50" s="2"/>
      <c r="F50" s="2"/>
      <c r="G50" s="2"/>
      <c r="H50" s="2"/>
      <c r="I50" s="2"/>
      <c r="J50" s="2"/>
      <c r="K50" s="2"/>
      <c r="L50" s="2"/>
    </row>
    <row r="51" spans="2:12" x14ac:dyDescent="0.15">
      <c r="B51" s="2"/>
      <c r="C51" s="2"/>
      <c r="D51" s="2"/>
      <c r="E51" s="2"/>
      <c r="F51" s="2"/>
      <c r="G51" s="2"/>
      <c r="H51" s="2"/>
      <c r="I51" s="2"/>
      <c r="J51" s="2"/>
      <c r="K51" s="2"/>
      <c r="L51" s="2"/>
    </row>
    <row r="52" spans="2:12" x14ac:dyDescent="0.15">
      <c r="B52" s="2"/>
      <c r="C52" s="2"/>
      <c r="D52" s="2"/>
      <c r="E52" s="2"/>
      <c r="F52" s="2"/>
      <c r="G52" s="2"/>
      <c r="H52" s="2"/>
      <c r="I52" s="2"/>
      <c r="J52" s="2"/>
      <c r="K52" s="2"/>
      <c r="L52" s="2"/>
    </row>
    <row r="53" spans="2:12" x14ac:dyDescent="0.15">
      <c r="B53" s="2"/>
      <c r="C53" s="2"/>
      <c r="D53" s="2"/>
      <c r="E53" s="2"/>
      <c r="F53" s="2"/>
      <c r="G53" s="2"/>
      <c r="H53" s="2"/>
      <c r="I53" s="2"/>
      <c r="J53" s="2"/>
      <c r="K53" s="2"/>
      <c r="L53" s="2"/>
    </row>
    <row r="54" spans="2:12" x14ac:dyDescent="0.15">
      <c r="B54" s="2"/>
      <c r="C54" s="2"/>
      <c r="D54" s="2"/>
      <c r="E54" s="2"/>
      <c r="F54" s="2"/>
      <c r="G54" s="2"/>
      <c r="H54" s="2"/>
      <c r="I54" s="2"/>
      <c r="J54" s="2"/>
      <c r="K54" s="2"/>
      <c r="L54" s="2"/>
    </row>
    <row r="55" spans="2:12" x14ac:dyDescent="0.15">
      <c r="B55" s="2"/>
      <c r="C55" s="2"/>
      <c r="D55" s="2"/>
      <c r="E55" s="2"/>
      <c r="F55" s="2"/>
      <c r="G55" s="2"/>
      <c r="H55" s="2"/>
      <c r="I55" s="2"/>
      <c r="J55" s="2"/>
      <c r="K55" s="2"/>
      <c r="L55" s="2"/>
    </row>
    <row r="56" spans="2:12" x14ac:dyDescent="0.15">
      <c r="B56" s="2"/>
      <c r="C56" s="2"/>
      <c r="D56" s="2"/>
      <c r="E56" s="2"/>
      <c r="F56" s="2"/>
      <c r="G56" s="2"/>
      <c r="H56" s="2"/>
      <c r="I56" s="2"/>
      <c r="J56" s="2"/>
      <c r="K56" s="2"/>
      <c r="L56" s="2"/>
    </row>
    <row r="57" spans="2:12" x14ac:dyDescent="0.15">
      <c r="B57" s="2"/>
      <c r="C57" s="2"/>
      <c r="D57" s="2"/>
      <c r="E57" s="2"/>
      <c r="F57" s="2"/>
      <c r="G57" s="2"/>
      <c r="H57" s="2"/>
      <c r="I57" s="2"/>
      <c r="J57" s="2"/>
      <c r="K57" s="2"/>
      <c r="L57" s="2"/>
    </row>
    <row r="58" spans="2:12" x14ac:dyDescent="0.15">
      <c r="B58" s="2"/>
      <c r="C58" s="2"/>
      <c r="D58" s="2"/>
      <c r="E58" s="2"/>
      <c r="F58" s="2"/>
      <c r="G58" s="2"/>
      <c r="H58" s="2"/>
      <c r="I58" s="2"/>
      <c r="J58" s="2"/>
      <c r="K58" s="2"/>
      <c r="L58" s="2"/>
    </row>
    <row r="59" spans="2:12" x14ac:dyDescent="0.15">
      <c r="B59" s="2"/>
      <c r="C59" s="2"/>
      <c r="D59" s="2"/>
      <c r="E59" s="2"/>
      <c r="F59" s="2"/>
      <c r="G59" s="2"/>
      <c r="H59" s="2"/>
      <c r="I59" s="2"/>
      <c r="J59" s="2"/>
      <c r="K59" s="2"/>
      <c r="L59" s="2"/>
    </row>
    <row r="60" spans="2:12" x14ac:dyDescent="0.15">
      <c r="B60" s="2"/>
      <c r="C60" s="2"/>
      <c r="D60" s="2"/>
      <c r="E60" s="2"/>
      <c r="F60" s="2"/>
      <c r="G60" s="2"/>
      <c r="H60" s="2"/>
      <c r="I60" s="2"/>
      <c r="J60" s="2"/>
      <c r="K60" s="2"/>
      <c r="L60" s="2"/>
    </row>
    <row r="61" spans="2:12" x14ac:dyDescent="0.15">
      <c r="B61" s="2"/>
      <c r="C61" s="2"/>
      <c r="D61" s="2"/>
      <c r="E61" s="2"/>
      <c r="F61" s="2"/>
      <c r="G61" s="2"/>
      <c r="H61" s="2"/>
      <c r="I61" s="2"/>
      <c r="J61" s="2"/>
      <c r="K61" s="2"/>
      <c r="L61" s="2"/>
    </row>
    <row r="62" spans="2:12" x14ac:dyDescent="0.15">
      <c r="B62" s="2"/>
      <c r="C62" s="2"/>
      <c r="D62" s="2"/>
      <c r="E62" s="2"/>
      <c r="F62" s="2"/>
      <c r="G62" s="2"/>
      <c r="H62" s="2"/>
      <c r="I62" s="2"/>
      <c r="J62" s="2"/>
      <c r="K62" s="2"/>
      <c r="L62" s="2"/>
    </row>
    <row r="63" spans="2:12" x14ac:dyDescent="0.15">
      <c r="B63" s="2"/>
      <c r="C63" s="2"/>
      <c r="D63" s="2"/>
      <c r="E63" s="2"/>
      <c r="F63" s="2"/>
      <c r="G63" s="2"/>
      <c r="H63" s="2"/>
      <c r="I63" s="2"/>
      <c r="J63" s="2"/>
      <c r="K63" s="2"/>
      <c r="L63" s="2"/>
    </row>
    <row r="64" spans="2:12" x14ac:dyDescent="0.15">
      <c r="B64" s="2"/>
      <c r="C64" s="2"/>
      <c r="D64" s="2"/>
      <c r="E64" s="2"/>
      <c r="F64" s="2"/>
      <c r="G64" s="2"/>
      <c r="H64" s="2"/>
      <c r="I64" s="2"/>
      <c r="J64" s="2"/>
      <c r="K64" s="2"/>
      <c r="L64" s="2"/>
    </row>
    <row r="65" spans="2:12" x14ac:dyDescent="0.15">
      <c r="B65" s="2"/>
      <c r="C65" s="2"/>
      <c r="D65" s="2"/>
      <c r="E65" s="2"/>
      <c r="F65" s="2"/>
      <c r="G65" s="2"/>
      <c r="H65" s="2"/>
      <c r="I65" s="2"/>
      <c r="J65" s="2"/>
      <c r="K65" s="2"/>
      <c r="L65" s="2"/>
    </row>
    <row r="66" spans="2:12" x14ac:dyDescent="0.15">
      <c r="B66" s="2"/>
      <c r="C66" s="2"/>
      <c r="D66" s="2"/>
      <c r="E66" s="2"/>
      <c r="F66" s="2"/>
      <c r="G66" s="2"/>
      <c r="H66" s="2"/>
      <c r="I66" s="2"/>
      <c r="J66" s="2"/>
      <c r="K66" s="2"/>
      <c r="L66" s="2"/>
    </row>
    <row r="67" spans="2:12" x14ac:dyDescent="0.15">
      <c r="B67" s="2"/>
      <c r="C67" s="2"/>
      <c r="D67" s="2"/>
      <c r="E67" s="2"/>
      <c r="F67" s="2"/>
      <c r="G67" s="2"/>
      <c r="H67" s="2"/>
      <c r="I67" s="2"/>
      <c r="J67" s="2"/>
      <c r="K67" s="2"/>
      <c r="L67" s="2"/>
    </row>
    <row r="68" spans="2:12" x14ac:dyDescent="0.15">
      <c r="B68" s="2"/>
      <c r="C68" s="2"/>
      <c r="D68" s="2"/>
      <c r="E68" s="2"/>
      <c r="F68" s="2"/>
      <c r="G68" s="2"/>
      <c r="H68" s="2"/>
      <c r="I68" s="2"/>
      <c r="J68" s="2"/>
      <c r="K68" s="2"/>
      <c r="L68" s="2"/>
    </row>
    <row r="69" spans="2:12" x14ac:dyDescent="0.15">
      <c r="B69" s="2"/>
      <c r="C69" s="2"/>
      <c r="D69" s="2"/>
      <c r="E69" s="2"/>
      <c r="F69" s="2"/>
      <c r="G69" s="2"/>
      <c r="H69" s="2"/>
      <c r="I69" s="2"/>
      <c r="J69" s="2"/>
      <c r="K69" s="2"/>
      <c r="L69" s="2"/>
    </row>
    <row r="70" spans="2:12" x14ac:dyDescent="0.15">
      <c r="B70" s="2"/>
      <c r="C70" s="2"/>
      <c r="D70" s="2"/>
      <c r="E70" s="2"/>
      <c r="F70" s="2"/>
      <c r="G70" s="2"/>
      <c r="H70" s="2"/>
      <c r="I70" s="2"/>
      <c r="J70" s="2"/>
      <c r="K70" s="2"/>
      <c r="L70" s="2"/>
    </row>
    <row r="71" spans="2:12" x14ac:dyDescent="0.15">
      <c r="B71" s="2"/>
      <c r="C71" s="2"/>
      <c r="D71" s="2"/>
      <c r="E71" s="2"/>
      <c r="F71" s="2"/>
      <c r="G71" s="2"/>
      <c r="H71" s="2"/>
      <c r="I71" s="2"/>
      <c r="J71" s="2"/>
      <c r="K71" s="2"/>
      <c r="L71" s="2"/>
    </row>
    <row r="72" spans="2:12" x14ac:dyDescent="0.15">
      <c r="B72" s="2"/>
      <c r="C72" s="2"/>
      <c r="D72" s="2"/>
      <c r="E72" s="2"/>
      <c r="F72" s="2"/>
      <c r="G72" s="2"/>
      <c r="H72" s="2"/>
      <c r="I72" s="2"/>
      <c r="J72" s="2"/>
      <c r="K72" s="2"/>
      <c r="L72" s="2"/>
    </row>
    <row r="73" spans="2:12" x14ac:dyDescent="0.15">
      <c r="B73" s="2"/>
      <c r="C73" s="2"/>
      <c r="D73" s="2"/>
      <c r="E73" s="2"/>
      <c r="F73" s="2"/>
      <c r="G73" s="2"/>
      <c r="H73" s="2"/>
      <c r="I73" s="2"/>
      <c r="J73" s="2"/>
      <c r="K73" s="2"/>
      <c r="L73" s="2"/>
    </row>
    <row r="74" spans="2:12" x14ac:dyDescent="0.15">
      <c r="B74" s="2"/>
      <c r="C74" s="2"/>
      <c r="D74" s="2"/>
      <c r="E74" s="2"/>
      <c r="F74" s="2"/>
      <c r="G74" s="2"/>
      <c r="H74" s="2"/>
      <c r="I74" s="2"/>
      <c r="J74" s="2"/>
      <c r="K74" s="2"/>
      <c r="L74" s="2"/>
    </row>
    <row r="75" spans="2:12" x14ac:dyDescent="0.15">
      <c r="B75" s="2"/>
      <c r="C75" s="2"/>
      <c r="D75" s="2"/>
      <c r="E75" s="2"/>
      <c r="F75" s="2"/>
      <c r="G75" s="2"/>
      <c r="H75" s="2"/>
      <c r="I75" s="2"/>
      <c r="J75" s="2"/>
      <c r="K75" s="2"/>
      <c r="L75" s="2"/>
    </row>
    <row r="76" spans="2:12" x14ac:dyDescent="0.15">
      <c r="B76" s="2"/>
      <c r="C76" s="2"/>
      <c r="D76" s="2"/>
      <c r="E76" s="2"/>
      <c r="F76" s="2"/>
      <c r="G76" s="2"/>
      <c r="H76" s="2"/>
      <c r="I76" s="2"/>
      <c r="J76" s="2"/>
      <c r="K76" s="2"/>
      <c r="L76" s="2"/>
    </row>
    <row r="77" spans="2:12" x14ac:dyDescent="0.15">
      <c r="B77" s="2"/>
      <c r="C77" s="2"/>
      <c r="D77" s="2"/>
      <c r="E77" s="2"/>
      <c r="F77" s="2"/>
      <c r="G77" s="2"/>
      <c r="H77" s="2"/>
      <c r="I77" s="2"/>
      <c r="J77" s="2"/>
      <c r="K77" s="2"/>
      <c r="L77" s="2"/>
    </row>
    <row r="78" spans="2:12" x14ac:dyDescent="0.15">
      <c r="B78" s="2"/>
      <c r="C78" s="2"/>
      <c r="D78" s="2"/>
      <c r="E78" s="2"/>
      <c r="F78" s="2"/>
      <c r="G78" s="2"/>
      <c r="H78" s="2"/>
      <c r="I78" s="2"/>
      <c r="J78" s="2"/>
      <c r="K78" s="2"/>
      <c r="L78" s="2"/>
    </row>
    <row r="79" spans="2:12" x14ac:dyDescent="0.15">
      <c r="B79" s="2"/>
      <c r="C79" s="2"/>
      <c r="D79" s="2"/>
      <c r="E79" s="2"/>
      <c r="F79" s="2"/>
      <c r="G79" s="2"/>
      <c r="H79" s="2"/>
      <c r="I79" s="2"/>
      <c r="J79" s="2"/>
      <c r="K79" s="2"/>
      <c r="L79" s="2"/>
    </row>
    <row r="80" spans="2:12" x14ac:dyDescent="0.15">
      <c r="B80" s="2"/>
      <c r="C80" s="2"/>
      <c r="D80" s="2"/>
      <c r="E80" s="2"/>
      <c r="F80" s="2"/>
      <c r="G80" s="2"/>
      <c r="H80" s="2"/>
      <c r="I80" s="2"/>
      <c r="J80" s="2"/>
      <c r="K80" s="2"/>
      <c r="L80" s="2"/>
    </row>
    <row r="81" spans="2:12" x14ac:dyDescent="0.15">
      <c r="B81" s="2"/>
      <c r="C81" s="2"/>
      <c r="D81" s="2"/>
      <c r="E81" s="2"/>
      <c r="F81" s="2"/>
      <c r="G81" s="2"/>
      <c r="H81" s="2"/>
      <c r="I81" s="2"/>
      <c r="J81" s="2"/>
      <c r="K81" s="2"/>
      <c r="L81" s="2"/>
    </row>
    <row r="82" spans="2:12" x14ac:dyDescent="0.15">
      <c r="B82" s="2"/>
      <c r="C82" s="2"/>
      <c r="D82" s="2"/>
      <c r="E82" s="2"/>
      <c r="F82" s="2"/>
      <c r="G82" s="2"/>
      <c r="H82" s="2"/>
      <c r="I82" s="2"/>
      <c r="J82" s="2"/>
      <c r="K82" s="2"/>
      <c r="L82" s="2"/>
    </row>
    <row r="83" spans="2:12" x14ac:dyDescent="0.15">
      <c r="B83" s="2"/>
      <c r="C83" s="2"/>
      <c r="D83" s="2"/>
      <c r="E83" s="2"/>
      <c r="F83" s="2"/>
      <c r="G83" s="2"/>
      <c r="H83" s="2"/>
      <c r="I83" s="2"/>
      <c r="J83" s="2"/>
      <c r="K83" s="2"/>
      <c r="L83" s="2"/>
    </row>
    <row r="84" spans="2:12" x14ac:dyDescent="0.15">
      <c r="B84" s="2"/>
      <c r="C84" s="2"/>
      <c r="D84" s="2"/>
      <c r="E84" s="2"/>
      <c r="F84" s="2"/>
      <c r="G84" s="2"/>
      <c r="H84" s="2"/>
      <c r="I84" s="2"/>
      <c r="J84" s="2"/>
      <c r="K84" s="2"/>
      <c r="L84" s="2"/>
    </row>
  </sheetData>
  <sheetProtection password="CC19" sheet="1" objects="1" scenarios="1"/>
  <phoneticPr fontId="3"/>
  <pageMargins left="0.31496062992125984" right="0.31496062992125984" top="0.74803149606299213" bottom="0" header="0.31496062992125984" footer="0.31496062992125984"/>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showRowColHeaders="0" workbookViewId="0">
      <selection activeCell="J12" sqref="J12"/>
    </sheetView>
  </sheetViews>
  <sheetFormatPr defaultRowHeight="14.25" x14ac:dyDescent="0.15"/>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6:H44"/>
  <sheetViews>
    <sheetView showGridLines="0" showRowColHeaders="0" tabSelected="1" workbookViewId="0">
      <selection activeCell="H10" sqref="H10"/>
    </sheetView>
  </sheetViews>
  <sheetFormatPr defaultRowHeight="14.25" x14ac:dyDescent="0.15"/>
  <cols>
    <col min="7" max="7" width="13" customWidth="1"/>
    <col min="8" max="8" width="17.625" customWidth="1"/>
  </cols>
  <sheetData>
    <row r="16" spans="1:8" ht="32.25" x14ac:dyDescent="0.15">
      <c r="A16" s="1244" t="s">
        <v>735</v>
      </c>
      <c r="B16" s="1245"/>
      <c r="C16" s="1245"/>
      <c r="D16" s="1245"/>
      <c r="E16" s="1245"/>
      <c r="F16" s="1245"/>
      <c r="G16" s="1245"/>
      <c r="H16" s="1245"/>
    </row>
    <row r="33" spans="2:7" x14ac:dyDescent="0.15">
      <c r="B33" s="65" t="s">
        <v>415</v>
      </c>
      <c r="C33" t="s">
        <v>417</v>
      </c>
    </row>
    <row r="34" spans="2:7" x14ac:dyDescent="0.15">
      <c r="C34" t="s">
        <v>416</v>
      </c>
    </row>
    <row r="43" spans="2:7" x14ac:dyDescent="0.15">
      <c r="D43" s="1246" t="s">
        <v>1222</v>
      </c>
      <c r="E43" s="1246"/>
      <c r="F43" s="1246"/>
      <c r="G43" s="1246"/>
    </row>
    <row r="44" spans="2:7" x14ac:dyDescent="0.15">
      <c r="D44" s="1246"/>
      <c r="E44" s="1246"/>
      <c r="F44" s="1246"/>
      <c r="G44" s="1246"/>
    </row>
  </sheetData>
  <sheetProtection password="CC2D" sheet="1" objects="1" scenarios="1"/>
  <mergeCells count="2">
    <mergeCell ref="A16:H16"/>
    <mergeCell ref="D43:G44"/>
  </mergeCells>
  <phoneticPr fontId="3"/>
  <pageMargins left="0.78740157480314965" right="0.39370078740157483" top="0.78740157480314965" bottom="0.39370078740157483" header="0.51181102362204722" footer="0.51181102362204722"/>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8:AO653"/>
  <sheetViews>
    <sheetView showGridLines="0" showRowColHeaders="0" zoomScaleNormal="100" workbookViewId="0">
      <selection activeCell="H26" sqref="H26"/>
    </sheetView>
  </sheetViews>
  <sheetFormatPr defaultRowHeight="14.25" x14ac:dyDescent="0.15"/>
  <cols>
    <col min="1" max="1" width="3.625" style="3" customWidth="1"/>
    <col min="2" max="2" width="3.25" style="3" customWidth="1"/>
    <col min="3" max="12" width="8.625" style="3" customWidth="1"/>
    <col min="13" max="13" width="10" style="3" customWidth="1"/>
    <col min="14" max="17" width="8.625" style="3" customWidth="1"/>
    <col min="18" max="16384" width="9" style="3"/>
  </cols>
  <sheetData>
    <row r="8" spans="4:12" ht="32.25" x14ac:dyDescent="0.15">
      <c r="D8" s="885"/>
      <c r="E8" s="883"/>
      <c r="F8" s="883"/>
      <c r="G8" s="883"/>
      <c r="H8" s="883"/>
      <c r="I8" s="883"/>
      <c r="J8" s="883"/>
      <c r="K8" s="883"/>
      <c r="L8" s="883"/>
    </row>
    <row r="9" spans="4:12" ht="32.25" x14ac:dyDescent="0.15">
      <c r="D9" s="883"/>
      <c r="E9" s="883"/>
      <c r="F9" s="883"/>
      <c r="G9" s="883"/>
      <c r="H9" s="883"/>
      <c r="I9" s="883"/>
      <c r="J9" s="883"/>
      <c r="K9" s="883"/>
      <c r="L9" s="883"/>
    </row>
    <row r="10" spans="4:12" ht="32.25" x14ac:dyDescent="0.15">
      <c r="D10" s="886"/>
      <c r="E10" s="886"/>
      <c r="F10" s="886"/>
      <c r="G10" s="886"/>
      <c r="H10" s="886"/>
      <c r="I10" s="886"/>
      <c r="J10" s="886"/>
      <c r="K10" s="886"/>
      <c r="L10" s="886"/>
    </row>
    <row r="14" spans="4:12" x14ac:dyDescent="0.15">
      <c r="D14" s="1337" t="s">
        <v>1271</v>
      </c>
      <c r="E14" s="1244"/>
      <c r="F14" s="1244"/>
      <c r="G14" s="1244"/>
      <c r="H14" s="1244"/>
      <c r="I14" s="1244"/>
      <c r="J14" s="1244"/>
      <c r="K14" s="1244"/>
      <c r="L14" s="1244"/>
    </row>
    <row r="15" spans="4:12" x14ac:dyDescent="0.15">
      <c r="D15" s="1244"/>
      <c r="E15" s="1244"/>
      <c r="F15" s="1244"/>
      <c r="G15" s="1244"/>
      <c r="H15" s="1244"/>
      <c r="I15" s="1244"/>
      <c r="J15" s="1244"/>
      <c r="K15" s="1244"/>
      <c r="L15" s="1244"/>
    </row>
    <row r="16" spans="4:12" x14ac:dyDescent="0.15">
      <c r="D16" s="1338"/>
      <c r="E16" s="1338"/>
      <c r="F16" s="1338"/>
      <c r="G16" s="1338"/>
      <c r="H16" s="1338"/>
      <c r="I16" s="1338"/>
      <c r="J16" s="1338"/>
      <c r="K16" s="1338"/>
      <c r="L16" s="1338"/>
    </row>
    <row r="58" spans="2:13" x14ac:dyDescent="0.15">
      <c r="J58" s="1335" t="s">
        <v>1272</v>
      </c>
      <c r="K58" s="1336"/>
      <c r="L58" s="1336"/>
      <c r="M58" s="1336"/>
    </row>
    <row r="59" spans="2:13" x14ac:dyDescent="0.15">
      <c r="J59" s="1336"/>
      <c r="K59" s="1336"/>
      <c r="L59" s="1336"/>
      <c r="M59" s="1336"/>
    </row>
    <row r="63" spans="2:13" x14ac:dyDescent="0.15">
      <c r="B63" s="559" t="s">
        <v>1185</v>
      </c>
      <c r="C63" s="559"/>
    </row>
    <row r="64" spans="2:13" x14ac:dyDescent="0.15">
      <c r="B64" s="559"/>
      <c r="C64" s="559" t="s">
        <v>1238</v>
      </c>
    </row>
    <row r="65" spans="2:13" x14ac:dyDescent="0.15">
      <c r="B65" s="559" t="s">
        <v>1239</v>
      </c>
      <c r="C65" s="559" t="s">
        <v>1240</v>
      </c>
    </row>
    <row r="66" spans="2:13" x14ac:dyDescent="0.15">
      <c r="B66" s="559" t="s">
        <v>1241</v>
      </c>
      <c r="C66" s="559" t="s">
        <v>1242</v>
      </c>
    </row>
    <row r="67" spans="2:13" x14ac:dyDescent="0.15">
      <c r="B67" s="559"/>
      <c r="C67" s="559" t="s">
        <v>1243</v>
      </c>
    </row>
    <row r="68" spans="2:13" x14ac:dyDescent="0.15">
      <c r="B68" s="559" t="s">
        <v>1245</v>
      </c>
      <c r="C68" s="559" t="s">
        <v>1246</v>
      </c>
    </row>
    <row r="69" spans="2:13" x14ac:dyDescent="0.15">
      <c r="B69" s="559"/>
      <c r="C69" s="559" t="s">
        <v>1247</v>
      </c>
    </row>
    <row r="70" spans="2:13" x14ac:dyDescent="0.15">
      <c r="B70" s="559" t="s">
        <v>1255</v>
      </c>
      <c r="C70" s="559" t="s">
        <v>1256</v>
      </c>
    </row>
    <row r="71" spans="2:13" x14ac:dyDescent="0.15">
      <c r="C71" s="559" t="s">
        <v>1257</v>
      </c>
    </row>
    <row r="72" spans="2:13" ht="15" thickBot="1" x14ac:dyDescent="0.2">
      <c r="B72" s="559" t="s">
        <v>1263</v>
      </c>
      <c r="C72" s="559" t="s">
        <v>1264</v>
      </c>
      <c r="D72" s="559"/>
      <c r="E72" s="559"/>
      <c r="F72" s="559"/>
      <c r="G72" s="559"/>
    </row>
    <row r="73" spans="2:13" ht="15" thickBot="1" x14ac:dyDescent="0.2">
      <c r="B73" s="1170" t="s">
        <v>193</v>
      </c>
      <c r="C73" s="1171"/>
      <c r="D73" s="1332"/>
      <c r="E73" s="209"/>
      <c r="F73" s="210" t="s">
        <v>655</v>
      </c>
      <c r="G73" s="210" t="s">
        <v>656</v>
      </c>
      <c r="H73" s="210"/>
      <c r="I73" s="210"/>
      <c r="J73" s="210"/>
      <c r="K73" s="210"/>
      <c r="L73" s="210"/>
      <c r="M73" s="210"/>
    </row>
    <row r="74" spans="2:13" ht="15" thickBot="1" x14ac:dyDescent="0.2">
      <c r="B74" s="1172" t="s">
        <v>192</v>
      </c>
      <c r="C74" s="1173"/>
      <c r="D74" s="1173"/>
      <c r="E74" s="1174"/>
      <c r="F74" s="167" t="s">
        <v>161</v>
      </c>
      <c r="G74" s="168" t="str">
        <f>+IF(VALUE(RIGHT(D120,4))&gt;=0.5,F600,F601)</f>
        <v>多雪地域　　　　　　　 1</v>
      </c>
      <c r="H74" s="169" t="s">
        <v>162</v>
      </c>
      <c r="I74" s="170">
        <f>+VALUE(RIGHT(D120,4))</f>
        <v>1</v>
      </c>
      <c r="J74" s="171" t="s">
        <v>1079</v>
      </c>
      <c r="K74" s="172" t="s">
        <v>419</v>
      </c>
      <c r="L74" s="173"/>
      <c r="M74" s="174"/>
    </row>
    <row r="75" spans="2:13" ht="15" customHeight="1" thickBot="1" x14ac:dyDescent="0.2">
      <c r="B75" s="1175"/>
      <c r="C75" s="1176"/>
      <c r="D75" s="1176"/>
      <c r="E75" s="1177"/>
      <c r="F75" s="1178" t="s">
        <v>653</v>
      </c>
      <c r="G75" s="1179"/>
      <c r="H75" s="1333" t="s">
        <v>615</v>
      </c>
      <c r="I75" s="1334"/>
      <c r="J75" s="1188" t="s">
        <v>207</v>
      </c>
      <c r="K75" s="1176"/>
      <c r="L75" s="1152">
        <v>1</v>
      </c>
      <c r="M75" s="175" t="s">
        <v>208</v>
      </c>
    </row>
    <row r="76" spans="2:13" ht="14.25" customHeight="1" thickBot="1" x14ac:dyDescent="0.2">
      <c r="B76" s="1189" t="s">
        <v>167</v>
      </c>
      <c r="C76" s="1190"/>
      <c r="D76" s="1191" t="s">
        <v>807</v>
      </c>
      <c r="E76" s="1192" t="s">
        <v>190</v>
      </c>
      <c r="F76" s="1192"/>
      <c r="G76" s="1305" t="s">
        <v>239</v>
      </c>
      <c r="H76" s="1305" t="s">
        <v>240</v>
      </c>
      <c r="I76" s="1305" t="s">
        <v>1080</v>
      </c>
      <c r="J76" s="1306" t="s">
        <v>15</v>
      </c>
      <c r="K76" s="1157" t="s">
        <v>783</v>
      </c>
      <c r="L76" s="1157"/>
      <c r="M76" s="1157"/>
    </row>
    <row r="77" spans="2:13" ht="15" thickBot="1" x14ac:dyDescent="0.2">
      <c r="B77" s="389"/>
      <c r="C77" s="326" t="s">
        <v>1081</v>
      </c>
      <c r="D77" s="1191"/>
      <c r="E77" s="178" t="s">
        <v>1082</v>
      </c>
      <c r="F77" s="179" t="s">
        <v>1083</v>
      </c>
      <c r="G77" s="1159"/>
      <c r="H77" s="1159"/>
      <c r="I77" s="1159"/>
      <c r="J77" s="1181"/>
      <c r="K77" s="459" t="s">
        <v>781</v>
      </c>
      <c r="L77" s="459" t="s">
        <v>1084</v>
      </c>
      <c r="M77" s="459" t="s">
        <v>782</v>
      </c>
    </row>
    <row r="78" spans="2:13" x14ac:dyDescent="0.15">
      <c r="B78" s="1344" t="s">
        <v>684</v>
      </c>
      <c r="C78" s="1162" t="s">
        <v>1085</v>
      </c>
      <c r="D78" s="163">
        <v>1</v>
      </c>
      <c r="E78" s="1168">
        <v>4.5</v>
      </c>
      <c r="F78" s="1169">
        <v>0.89700000000000002</v>
      </c>
      <c r="G78" s="1182">
        <v>1.82</v>
      </c>
      <c r="H78" s="1182">
        <v>1.82</v>
      </c>
      <c r="I78" s="1182">
        <v>3.94</v>
      </c>
      <c r="J78" s="1309" t="s">
        <v>24</v>
      </c>
      <c r="K78" s="1153">
        <v>120</v>
      </c>
      <c r="L78" s="195" t="s">
        <v>851</v>
      </c>
      <c r="M78" s="237">
        <v>240</v>
      </c>
    </row>
    <row r="79" spans="2:13" ht="15" thickBot="1" x14ac:dyDescent="0.2">
      <c r="B79" s="1345"/>
      <c r="C79" s="1339"/>
      <c r="D79" s="164">
        <v>2</v>
      </c>
      <c r="E79" s="1340"/>
      <c r="F79" s="1321"/>
      <c r="G79" s="1347"/>
      <c r="H79" s="1347"/>
      <c r="I79" s="1347"/>
      <c r="J79" s="1310"/>
      <c r="K79" s="1193" t="s">
        <v>852</v>
      </c>
      <c r="L79" s="1194"/>
      <c r="M79" s="239">
        <v>210</v>
      </c>
    </row>
    <row r="80" spans="2:13" x14ac:dyDescent="0.15">
      <c r="B80" s="1345"/>
      <c r="C80" s="1339" t="s">
        <v>1086</v>
      </c>
      <c r="D80" s="165"/>
      <c r="E80" s="1340"/>
      <c r="F80" s="1341" t="s">
        <v>853</v>
      </c>
      <c r="H80" s="538"/>
      <c r="I80" s="538"/>
      <c r="J80" s="1349"/>
      <c r="K80" s="1154"/>
      <c r="L80" s="196"/>
      <c r="M80" s="336"/>
    </row>
    <row r="81" spans="1:13" ht="15" thickBot="1" x14ac:dyDescent="0.2">
      <c r="B81" s="1346"/>
      <c r="C81" s="1339"/>
      <c r="D81" s="164"/>
      <c r="E81" s="1340"/>
      <c r="F81" s="1321"/>
      <c r="G81" s="678"/>
      <c r="H81" s="678"/>
      <c r="I81" s="557"/>
      <c r="J81" s="1324"/>
      <c r="K81" s="679"/>
      <c r="L81" s="680"/>
      <c r="M81" s="337"/>
    </row>
    <row r="82" spans="1:13" x14ac:dyDescent="0.15">
      <c r="B82" s="664"/>
      <c r="C82" s="686"/>
      <c r="D82" s="686"/>
      <c r="E82" s="347"/>
      <c r="F82" s="686"/>
      <c r="G82" s="348"/>
      <c r="H82" s="348"/>
      <c r="I82" s="558" t="s">
        <v>857</v>
      </c>
      <c r="J82" s="686"/>
      <c r="K82" s="685"/>
      <c r="L82" s="685"/>
      <c r="M82" s="686"/>
    </row>
    <row r="83" spans="1:13" x14ac:dyDescent="0.15">
      <c r="B83" s="664"/>
      <c r="C83" s="686"/>
      <c r="D83" s="686"/>
      <c r="E83" s="347"/>
      <c r="F83" s="686"/>
      <c r="H83" s="556" t="s">
        <v>856</v>
      </c>
      <c r="I83" s="348"/>
      <c r="J83" s="686"/>
      <c r="K83" s="685"/>
      <c r="L83" s="685"/>
      <c r="M83" s="686"/>
    </row>
    <row r="84" spans="1:13" x14ac:dyDescent="0.15">
      <c r="A84" s="23"/>
      <c r="B84" s="664"/>
      <c r="C84" s="686"/>
      <c r="D84" s="555" t="s">
        <v>1244</v>
      </c>
      <c r="F84" s="686"/>
      <c r="G84" s="348"/>
      <c r="H84" s="348"/>
      <c r="I84" s="348"/>
      <c r="J84" s="686"/>
      <c r="K84" s="685"/>
      <c r="L84" s="685"/>
      <c r="M84" s="686"/>
    </row>
    <row r="85" spans="1:13" x14ac:dyDescent="0.15">
      <c r="A85" s="23"/>
      <c r="B85" s="3" t="s">
        <v>1078</v>
      </c>
      <c r="F85" s="686"/>
      <c r="G85" s="348"/>
      <c r="H85" s="348"/>
      <c r="I85" s="348"/>
      <c r="J85" s="686"/>
    </row>
    <row r="86" spans="1:13" x14ac:dyDescent="0.15">
      <c r="A86" s="23"/>
      <c r="B86" s="686">
        <v>1</v>
      </c>
      <c r="C86" s="686" t="s">
        <v>1089</v>
      </c>
      <c r="D86" s="686"/>
      <c r="E86" s="347"/>
      <c r="F86" s="686"/>
      <c r="G86" s="348"/>
      <c r="H86" s="348"/>
      <c r="I86" s="348"/>
      <c r="J86" s="686"/>
      <c r="K86" s="685"/>
      <c r="L86" s="685"/>
      <c r="M86" s="686"/>
    </row>
    <row r="87" spans="1:13" x14ac:dyDescent="0.15">
      <c r="A87" s="23"/>
      <c r="B87" s="664"/>
      <c r="C87" s="686" t="s">
        <v>1090</v>
      </c>
      <c r="D87" s="686"/>
      <c r="E87" s="347"/>
      <c r="F87" s="686"/>
      <c r="G87" s="348"/>
      <c r="H87" s="348"/>
      <c r="I87" s="348"/>
      <c r="J87" s="686"/>
      <c r="K87" s="685"/>
      <c r="L87" s="685"/>
      <c r="M87" s="686"/>
    </row>
    <row r="88" spans="1:13" x14ac:dyDescent="0.15">
      <c r="A88" s="23"/>
      <c r="B88" s="664"/>
      <c r="C88" s="686" t="s">
        <v>1091</v>
      </c>
      <c r="D88" s="686"/>
      <c r="E88" s="347"/>
      <c r="F88" s="686"/>
      <c r="G88" s="348"/>
      <c r="H88" s="348"/>
      <c r="I88" s="348"/>
      <c r="J88" s="686"/>
      <c r="K88" s="685"/>
      <c r="L88" s="685"/>
      <c r="M88" s="686"/>
    </row>
    <row r="89" spans="1:13" x14ac:dyDescent="0.15">
      <c r="B89" s="686"/>
      <c r="C89" s="686" t="s">
        <v>1092</v>
      </c>
      <c r="D89" s="347"/>
      <c r="E89" s="686"/>
      <c r="F89" s="348"/>
      <c r="G89" s="348"/>
      <c r="H89" s="348"/>
      <c r="I89" s="686"/>
      <c r="J89" s="685"/>
      <c r="K89" s="685"/>
      <c r="L89" s="9"/>
      <c r="M89" s="23"/>
    </row>
    <row r="90" spans="1:13" x14ac:dyDescent="0.15">
      <c r="B90" s="686">
        <v>2</v>
      </c>
      <c r="C90" s="3" t="s">
        <v>1093</v>
      </c>
      <c r="D90" s="347"/>
      <c r="E90" s="686"/>
      <c r="F90" s="348"/>
      <c r="G90" s="348"/>
      <c r="H90" s="348"/>
      <c r="I90" s="686"/>
      <c r="J90" s="685"/>
      <c r="K90" s="685"/>
      <c r="L90" s="9"/>
      <c r="M90" s="23"/>
    </row>
    <row r="91" spans="1:13" x14ac:dyDescent="0.15">
      <c r="B91" s="686">
        <v>3</v>
      </c>
      <c r="C91" s="9" t="s">
        <v>743</v>
      </c>
      <c r="D91" s="347"/>
      <c r="E91" s="686"/>
      <c r="F91" s="348"/>
      <c r="G91" s="348"/>
      <c r="H91" s="348"/>
      <c r="I91" s="686"/>
      <c r="J91" s="685"/>
      <c r="K91" s="685"/>
      <c r="L91" s="9"/>
      <c r="M91" s="23"/>
    </row>
    <row r="92" spans="1:13" x14ac:dyDescent="0.15">
      <c r="B92" s="686">
        <v>4</v>
      </c>
      <c r="C92" s="9" t="s">
        <v>744</v>
      </c>
      <c r="D92" s="347"/>
      <c r="E92" s="686"/>
      <c r="F92" s="348"/>
      <c r="G92" s="348"/>
      <c r="H92" s="348"/>
      <c r="I92" s="686"/>
      <c r="J92" s="685"/>
      <c r="K92" s="685"/>
      <c r="L92" s="9"/>
      <c r="M92" s="23"/>
    </row>
    <row r="93" spans="1:13" x14ac:dyDescent="0.15">
      <c r="B93" s="686"/>
      <c r="C93" s="9" t="s">
        <v>1094</v>
      </c>
      <c r="D93" s="347"/>
      <c r="E93" s="686"/>
      <c r="F93" s="348"/>
      <c r="G93" s="348"/>
      <c r="H93" s="348"/>
      <c r="I93" s="686"/>
      <c r="J93" s="685"/>
      <c r="K93" s="685"/>
      <c r="L93" s="9"/>
      <c r="M93" s="23"/>
    </row>
    <row r="94" spans="1:13" x14ac:dyDescent="0.15">
      <c r="B94" s="686"/>
      <c r="C94" s="9"/>
      <c r="D94" s="347"/>
      <c r="E94" s="686"/>
      <c r="F94" s="348"/>
      <c r="G94" s="348"/>
      <c r="H94" s="348"/>
      <c r="I94" s="686"/>
      <c r="J94" s="685"/>
      <c r="K94" s="685"/>
      <c r="L94" s="9"/>
      <c r="M94" s="23"/>
    </row>
    <row r="95" spans="1:13" x14ac:dyDescent="0.15">
      <c r="B95" s="686"/>
      <c r="C95" s="9"/>
      <c r="D95" s="347"/>
      <c r="E95" s="686"/>
      <c r="F95" s="348"/>
      <c r="G95" s="348"/>
      <c r="H95" s="348"/>
      <c r="I95" s="686"/>
      <c r="J95" s="685"/>
      <c r="K95" s="685"/>
      <c r="L95" s="9"/>
      <c r="M95" s="23"/>
    </row>
    <row r="96" spans="1:13" x14ac:dyDescent="0.15">
      <c r="B96" s="686"/>
      <c r="C96" s="9"/>
      <c r="D96" s="347"/>
      <c r="E96" s="686"/>
      <c r="F96" s="348"/>
      <c r="G96" s="348"/>
      <c r="H96" s="348"/>
      <c r="I96" s="686"/>
      <c r="J96" s="685"/>
      <c r="K96" s="685"/>
      <c r="L96" s="9"/>
      <c r="M96" s="23"/>
    </row>
    <row r="97" spans="2:13" x14ac:dyDescent="0.15">
      <c r="B97" s="686"/>
      <c r="C97" s="9"/>
      <c r="D97" s="347"/>
      <c r="E97" s="686"/>
      <c r="F97" s="348"/>
      <c r="G97" s="348"/>
      <c r="H97" s="348"/>
      <c r="I97" s="686"/>
      <c r="J97" s="685"/>
      <c r="K97" s="685"/>
      <c r="L97" s="9"/>
      <c r="M97" s="23"/>
    </row>
    <row r="98" spans="2:13" x14ac:dyDescent="0.15">
      <c r="B98" s="686"/>
      <c r="C98" s="9"/>
      <c r="D98" s="347"/>
      <c r="E98" s="686"/>
      <c r="F98" s="348"/>
      <c r="G98" s="348"/>
      <c r="H98" s="348"/>
      <c r="I98" s="686"/>
      <c r="J98" s="685"/>
      <c r="K98" s="685"/>
      <c r="L98" s="9"/>
      <c r="M98" s="23"/>
    </row>
    <row r="99" spans="2:13" x14ac:dyDescent="0.15">
      <c r="B99" s="686"/>
      <c r="C99" s="9"/>
      <c r="D99" s="347"/>
      <c r="E99" s="686"/>
      <c r="F99" s="348"/>
      <c r="G99" s="348"/>
      <c r="H99" s="348"/>
      <c r="I99" s="686"/>
      <c r="J99" s="685"/>
      <c r="K99" s="685"/>
      <c r="L99" s="9"/>
      <c r="M99" s="23"/>
    </row>
    <row r="100" spans="2:13" x14ac:dyDescent="0.15">
      <c r="B100" s="686"/>
      <c r="C100" s="9"/>
      <c r="D100" s="347"/>
      <c r="E100" s="686"/>
      <c r="F100" s="348"/>
      <c r="G100" s="348"/>
      <c r="H100" s="348"/>
      <c r="I100" s="686"/>
      <c r="J100" s="685"/>
      <c r="K100" s="685"/>
      <c r="L100" s="9"/>
      <c r="M100" s="23"/>
    </row>
    <row r="101" spans="2:13" x14ac:dyDescent="0.15">
      <c r="B101" s="686"/>
      <c r="C101" s="9"/>
      <c r="D101" s="347"/>
      <c r="E101" s="686"/>
      <c r="F101" s="348"/>
      <c r="G101" s="348"/>
      <c r="H101" s="348"/>
      <c r="I101" s="686"/>
      <c r="J101" s="685"/>
      <c r="K101" s="685"/>
      <c r="L101" s="9"/>
      <c r="M101" s="23"/>
    </row>
    <row r="102" spans="2:13" x14ac:dyDescent="0.15">
      <c r="B102" s="686"/>
      <c r="C102" s="686"/>
      <c r="D102" s="347"/>
      <c r="E102" s="686"/>
      <c r="F102" s="348"/>
      <c r="G102" s="348"/>
      <c r="H102" s="348"/>
      <c r="I102" s="686"/>
      <c r="J102" s="685"/>
      <c r="K102" s="685"/>
      <c r="L102" s="9"/>
      <c r="M102" s="23"/>
    </row>
    <row r="103" spans="2:13" x14ac:dyDescent="0.15">
      <c r="B103" s="686"/>
      <c r="C103" s="686"/>
      <c r="D103" s="347"/>
      <c r="E103" s="686"/>
      <c r="F103" s="348"/>
      <c r="G103" s="348"/>
      <c r="H103" s="348"/>
      <c r="I103" s="686"/>
      <c r="J103" s="685"/>
      <c r="K103" s="685"/>
      <c r="L103" s="9"/>
      <c r="M103" s="23"/>
    </row>
    <row r="104" spans="2:13" x14ac:dyDescent="0.15">
      <c r="B104" s="686"/>
      <c r="C104" s="686"/>
      <c r="D104" s="347"/>
      <c r="E104" s="686"/>
      <c r="F104" s="348"/>
      <c r="G104" s="348"/>
      <c r="H104" s="348"/>
      <c r="I104" s="686"/>
      <c r="J104" s="685"/>
      <c r="K104" s="685"/>
      <c r="L104" s="9"/>
      <c r="M104" s="23"/>
    </row>
    <row r="105" spans="2:13" x14ac:dyDescent="0.15">
      <c r="B105" s="686"/>
      <c r="C105" s="686"/>
      <c r="D105" s="347"/>
      <c r="E105" s="686"/>
      <c r="F105" s="348"/>
      <c r="G105" s="348"/>
      <c r="H105" s="348"/>
      <c r="I105" s="686"/>
      <c r="J105" s="685"/>
      <c r="K105" s="685"/>
      <c r="L105" s="9"/>
      <c r="M105" s="23"/>
    </row>
    <row r="106" spans="2:13" x14ac:dyDescent="0.15">
      <c r="B106" s="686"/>
      <c r="C106" s="686"/>
      <c r="D106" s="347"/>
      <c r="E106" s="686"/>
      <c r="F106" s="348"/>
      <c r="G106" s="348"/>
      <c r="H106" s="348"/>
      <c r="I106" s="686"/>
      <c r="J106" s="685"/>
      <c r="K106" s="685"/>
      <c r="L106" s="9"/>
      <c r="M106" s="23"/>
    </row>
    <row r="107" spans="2:13" x14ac:dyDescent="0.15">
      <c r="B107" s="686"/>
      <c r="C107" s="686"/>
      <c r="D107" s="347"/>
      <c r="E107" s="686"/>
      <c r="F107" s="348"/>
      <c r="G107" s="348"/>
      <c r="H107" s="348"/>
      <c r="I107" s="686"/>
      <c r="J107" s="685"/>
      <c r="K107" s="685"/>
      <c r="L107" s="9"/>
      <c r="M107" s="23"/>
    </row>
    <row r="108" spans="2:13" x14ac:dyDescent="0.15">
      <c r="B108" s="686"/>
      <c r="C108" s="686"/>
      <c r="D108" s="347"/>
      <c r="E108" s="686"/>
      <c r="F108" s="348"/>
      <c r="G108" s="348"/>
      <c r="H108" s="348"/>
      <c r="I108" s="686"/>
      <c r="J108" s="884"/>
      <c r="K108" s="884"/>
      <c r="L108" s="9"/>
      <c r="M108" s="23"/>
    </row>
    <row r="109" spans="2:13" x14ac:dyDescent="0.15">
      <c r="B109" s="686"/>
      <c r="C109" s="686"/>
      <c r="D109" s="347"/>
      <c r="E109" s="686"/>
      <c r="F109" s="348"/>
      <c r="G109" s="348"/>
      <c r="H109" s="348"/>
      <c r="I109" s="686"/>
      <c r="J109" s="884"/>
      <c r="K109" s="884"/>
      <c r="L109" s="9"/>
      <c r="M109" s="23"/>
    </row>
    <row r="110" spans="2:13" x14ac:dyDescent="0.15">
      <c r="B110" s="686"/>
      <c r="C110" s="686"/>
      <c r="D110" s="347"/>
      <c r="E110" s="686"/>
      <c r="F110" s="348"/>
      <c r="G110" s="348"/>
      <c r="H110" s="348"/>
      <c r="I110" s="686"/>
      <c r="J110" s="884"/>
      <c r="K110" s="884"/>
      <c r="L110" s="9"/>
      <c r="M110" s="23"/>
    </row>
    <row r="111" spans="2:13" x14ac:dyDescent="0.15">
      <c r="B111" s="686"/>
      <c r="C111" s="686"/>
      <c r="D111" s="347"/>
      <c r="E111" s="686"/>
      <c r="F111" s="348"/>
      <c r="G111" s="348"/>
      <c r="H111" s="348"/>
      <c r="I111" s="686"/>
      <c r="J111" s="884"/>
      <c r="K111" s="884"/>
      <c r="L111" s="9"/>
      <c r="M111" s="23"/>
    </row>
    <row r="112" spans="2:13" x14ac:dyDescent="0.15">
      <c r="B112" s="686"/>
      <c r="C112" s="686"/>
      <c r="D112" s="347"/>
      <c r="E112" s="686"/>
      <c r="F112" s="348"/>
      <c r="G112" s="348"/>
      <c r="H112" s="348"/>
      <c r="I112" s="686"/>
      <c r="J112" s="884"/>
      <c r="K112" s="884"/>
      <c r="L112" s="9"/>
      <c r="M112" s="23"/>
    </row>
    <row r="113" spans="2:13" x14ac:dyDescent="0.15">
      <c r="B113" s="686"/>
      <c r="C113" s="686"/>
      <c r="D113" s="347"/>
      <c r="E113" s="686"/>
      <c r="F113" s="348"/>
      <c r="G113" s="348"/>
      <c r="H113" s="348"/>
      <c r="I113" s="686"/>
      <c r="J113" s="884"/>
      <c r="K113" s="884"/>
      <c r="L113" s="9"/>
      <c r="M113" s="23"/>
    </row>
    <row r="114" spans="2:13" x14ac:dyDescent="0.15">
      <c r="B114" s="686"/>
      <c r="C114" s="686"/>
      <c r="D114" s="347"/>
      <c r="E114" s="686"/>
      <c r="F114" s="348"/>
      <c r="G114" s="348"/>
      <c r="H114" s="348"/>
      <c r="I114" s="686"/>
      <c r="J114" s="884"/>
      <c r="K114" s="884"/>
      <c r="L114" s="9"/>
      <c r="M114" s="23"/>
    </row>
    <row r="115" spans="2:13" x14ac:dyDescent="0.15">
      <c r="B115" s="686"/>
      <c r="C115" s="686"/>
      <c r="D115" s="347"/>
      <c r="E115" s="686"/>
      <c r="F115" s="348"/>
      <c r="G115" s="348"/>
      <c r="H115" s="348"/>
      <c r="I115" s="686"/>
      <c r="J115" s="884"/>
      <c r="K115" s="884"/>
      <c r="L115" s="9"/>
      <c r="M115" s="23"/>
    </row>
    <row r="116" spans="2:13" x14ac:dyDescent="0.15">
      <c r="B116" s="686"/>
      <c r="C116" s="686"/>
      <c r="D116" s="347"/>
      <c r="E116" s="686"/>
      <c r="F116" s="348"/>
      <c r="G116" s="348"/>
      <c r="H116" s="348"/>
      <c r="I116" s="686"/>
      <c r="J116" s="884"/>
      <c r="K116" s="884"/>
      <c r="L116" s="9"/>
      <c r="M116" s="23"/>
    </row>
    <row r="117" spans="2:13" x14ac:dyDescent="0.15">
      <c r="B117" s="686"/>
      <c r="C117" s="686"/>
      <c r="D117" s="347"/>
      <c r="E117" s="686"/>
      <c r="F117" s="348"/>
      <c r="G117" s="348"/>
      <c r="H117" s="348"/>
      <c r="I117" s="686"/>
      <c r="J117" s="884"/>
      <c r="K117" s="884"/>
      <c r="L117" s="9"/>
      <c r="M117" s="23"/>
    </row>
    <row r="118" spans="2:13" x14ac:dyDescent="0.15">
      <c r="B118" s="3">
        <v>5</v>
      </c>
      <c r="C118" s="3" t="s">
        <v>1095</v>
      </c>
    </row>
    <row r="119" spans="2:13" ht="15" thickBot="1" x14ac:dyDescent="0.2">
      <c r="C119" s="2" t="s">
        <v>1096</v>
      </c>
    </row>
    <row r="120" spans="2:13" ht="15" thickBot="1" x14ac:dyDescent="0.2">
      <c r="B120" s="1350" t="s">
        <v>771</v>
      </c>
      <c r="C120" s="1351"/>
      <c r="D120" s="1318" t="s">
        <v>121</v>
      </c>
      <c r="E120" s="1319"/>
    </row>
    <row r="121" spans="2:13" x14ac:dyDescent="0.15">
      <c r="B121" s="1342" t="s">
        <v>165</v>
      </c>
      <c r="C121" s="1343"/>
      <c r="D121" s="681" t="s">
        <v>243</v>
      </c>
      <c r="E121" s="682"/>
      <c r="F121" s="682"/>
      <c r="G121" s="682"/>
      <c r="H121" s="682"/>
      <c r="I121" s="682"/>
      <c r="J121" s="682"/>
      <c r="K121" s="682"/>
    </row>
    <row r="122" spans="2:13" x14ac:dyDescent="0.15">
      <c r="B122" s="676"/>
      <c r="C122" s="1352" t="s">
        <v>242</v>
      </c>
      <c r="D122" s="675" t="s">
        <v>465</v>
      </c>
      <c r="E122" s="1307" t="s">
        <v>1154</v>
      </c>
      <c r="F122" s="1308"/>
      <c r="G122" s="1308"/>
      <c r="H122" s="1308"/>
      <c r="I122" s="1308"/>
      <c r="J122" s="1308"/>
      <c r="K122" s="1308"/>
    </row>
    <row r="123" spans="2:13" ht="15" thickBot="1" x14ac:dyDescent="0.2">
      <c r="B123" s="677"/>
      <c r="C123" s="1329"/>
      <c r="D123" s="459" t="s">
        <v>1106</v>
      </c>
      <c r="E123" s="554" t="s">
        <v>1101</v>
      </c>
      <c r="F123" s="459" t="s">
        <v>1102</v>
      </c>
      <c r="G123" s="459" t="s">
        <v>1103</v>
      </c>
      <c r="H123" s="459" t="s">
        <v>1104</v>
      </c>
      <c r="I123" s="459" t="s">
        <v>1177</v>
      </c>
      <c r="J123" s="459" t="s">
        <v>1151</v>
      </c>
      <c r="K123" s="553" t="s">
        <v>1153</v>
      </c>
    </row>
    <row r="124" spans="2:13" x14ac:dyDescent="0.15">
      <c r="B124" s="238" t="s">
        <v>752</v>
      </c>
      <c r="C124" s="1328" t="s">
        <v>752</v>
      </c>
      <c r="D124" s="1309" t="s">
        <v>1174</v>
      </c>
      <c r="E124" s="1254">
        <v>15</v>
      </c>
      <c r="F124" s="1254">
        <v>160</v>
      </c>
      <c r="G124" s="1320">
        <v>60</v>
      </c>
      <c r="H124" s="1254">
        <v>120</v>
      </c>
      <c r="I124" s="1254">
        <v>60</v>
      </c>
      <c r="J124" s="1320">
        <v>10.74</v>
      </c>
      <c r="K124" s="1322">
        <v>0.95</v>
      </c>
    </row>
    <row r="125" spans="2:13" x14ac:dyDescent="0.15">
      <c r="B125" s="240" t="s">
        <v>752</v>
      </c>
      <c r="C125" s="1329"/>
      <c r="D125" s="1310"/>
      <c r="E125" s="1325"/>
      <c r="F125" s="1325"/>
      <c r="G125" s="1321"/>
      <c r="H125" s="1325"/>
      <c r="I125" s="1325"/>
      <c r="J125" s="1321"/>
      <c r="K125" s="1323"/>
    </row>
    <row r="126" spans="2:13" x14ac:dyDescent="0.15">
      <c r="B126" s="242"/>
      <c r="C126" s="1328"/>
      <c r="D126" s="1324"/>
      <c r="E126" s="1325"/>
      <c r="F126" s="1325"/>
      <c r="G126" s="1320"/>
      <c r="H126" s="1325"/>
      <c r="I126" s="1325"/>
      <c r="J126" s="1321"/>
      <c r="K126" s="1323"/>
    </row>
    <row r="127" spans="2:13" x14ac:dyDescent="0.15">
      <c r="B127" s="240"/>
      <c r="C127" s="1329"/>
      <c r="D127" s="1324"/>
      <c r="E127" s="1325"/>
      <c r="F127" s="1325"/>
      <c r="G127" s="1321"/>
      <c r="H127" s="1325"/>
      <c r="I127" s="1325"/>
      <c r="J127" s="1321"/>
      <c r="K127" s="1323"/>
    </row>
    <row r="128" spans="2:13" x14ac:dyDescent="0.15">
      <c r="C128" s="9"/>
    </row>
    <row r="129" spans="2:15" x14ac:dyDescent="0.15">
      <c r="C129" s="9" t="s">
        <v>1178</v>
      </c>
      <c r="G129" s="1277" t="s">
        <v>1173</v>
      </c>
      <c r="H129" s="1330"/>
      <c r="I129" s="1331"/>
      <c r="K129" s="3" t="s">
        <v>1180</v>
      </c>
    </row>
    <row r="130" spans="2:15" ht="15" thickBot="1" x14ac:dyDescent="0.2">
      <c r="C130" s="9" t="s">
        <v>1179</v>
      </c>
      <c r="G130" s="677" t="s">
        <v>480</v>
      </c>
      <c r="H130" s="677" t="s">
        <v>481</v>
      </c>
      <c r="I130" s="677" t="s">
        <v>482</v>
      </c>
      <c r="K130" s="3" t="s">
        <v>1181</v>
      </c>
    </row>
    <row r="131" spans="2:15" x14ac:dyDescent="0.15">
      <c r="C131" s="9"/>
      <c r="G131" s="1326"/>
      <c r="H131" s="1311"/>
      <c r="I131" s="1313">
        <v>144</v>
      </c>
    </row>
    <row r="132" spans="2:15" x14ac:dyDescent="0.15">
      <c r="C132" s="687" t="s">
        <v>1194</v>
      </c>
      <c r="D132" s="687"/>
      <c r="E132" s="687"/>
      <c r="G132" s="1312"/>
      <c r="H132" s="1312"/>
      <c r="I132" s="1312"/>
      <c r="K132" s="349"/>
    </row>
    <row r="133" spans="2:15" x14ac:dyDescent="0.15">
      <c r="C133" s="9"/>
      <c r="D133" s="2"/>
      <c r="G133" s="1326"/>
      <c r="H133" s="1311"/>
      <c r="I133" s="1313"/>
    </row>
    <row r="134" spans="2:15" x14ac:dyDescent="0.15">
      <c r="C134" s="906" t="s">
        <v>1273</v>
      </c>
      <c r="D134" s="687"/>
      <c r="E134" s="687"/>
      <c r="G134" s="1327"/>
      <c r="H134" s="1312"/>
      <c r="I134" s="1312"/>
    </row>
    <row r="135" spans="2:15" ht="15" thickBot="1" x14ac:dyDescent="0.2">
      <c r="C135" s="9"/>
      <c r="D135" s="2"/>
    </row>
    <row r="136" spans="2:15" x14ac:dyDescent="0.15">
      <c r="C136" s="9"/>
      <c r="E136" s="1197" t="s">
        <v>199</v>
      </c>
      <c r="F136" s="1198"/>
      <c r="G136" s="1199"/>
      <c r="H136" s="1197" t="s">
        <v>200</v>
      </c>
      <c r="I136" s="1198"/>
      <c r="J136" s="1198"/>
      <c r="K136" s="1348"/>
    </row>
    <row r="137" spans="2:15" x14ac:dyDescent="0.15">
      <c r="B137" s="2"/>
      <c r="C137" s="9"/>
      <c r="D137" s="2"/>
      <c r="E137" s="683" t="s">
        <v>188</v>
      </c>
      <c r="F137" s="683" t="s">
        <v>189</v>
      </c>
      <c r="G137" s="683" t="s">
        <v>242</v>
      </c>
      <c r="H137" s="683" t="s">
        <v>188</v>
      </c>
      <c r="I137" s="683" t="s">
        <v>189</v>
      </c>
      <c r="J137" s="1277" t="s">
        <v>242</v>
      </c>
      <c r="K137" s="1278"/>
      <c r="L137" s="2"/>
      <c r="M137" s="2"/>
      <c r="N137" s="2"/>
      <c r="O137" s="2"/>
    </row>
    <row r="138" spans="2:15" ht="15" thickBot="1" x14ac:dyDescent="0.2">
      <c r="B138" s="2"/>
      <c r="C138" s="2"/>
      <c r="D138" s="2"/>
      <c r="E138" s="179" t="s">
        <v>194</v>
      </c>
      <c r="F138" s="179" t="s">
        <v>195</v>
      </c>
      <c r="G138" s="179" t="s">
        <v>485</v>
      </c>
      <c r="H138" s="179" t="s">
        <v>194</v>
      </c>
      <c r="I138" s="179" t="s">
        <v>195</v>
      </c>
      <c r="J138" s="1315" t="s">
        <v>485</v>
      </c>
      <c r="K138" s="1278"/>
      <c r="L138" s="2"/>
      <c r="M138" s="685"/>
      <c r="N138" s="685"/>
      <c r="O138" s="685"/>
    </row>
    <row r="139" spans="2:15" ht="14.25" customHeight="1" x14ac:dyDescent="0.15">
      <c r="B139" s="2"/>
      <c r="C139" s="2"/>
      <c r="D139" s="2"/>
      <c r="E139" s="199">
        <v>0.76</v>
      </c>
      <c r="F139" s="199">
        <v>0.57999999999999996</v>
      </c>
      <c r="G139" s="1314">
        <v>0.84</v>
      </c>
      <c r="H139" s="199">
        <v>0.87</v>
      </c>
      <c r="I139" s="199">
        <v>0.75</v>
      </c>
      <c r="J139" s="1316">
        <v>0.97</v>
      </c>
      <c r="K139" s="1278"/>
      <c r="L139" s="2"/>
      <c r="M139" s="685"/>
      <c r="N139" s="686"/>
      <c r="O139" s="686"/>
    </row>
    <row r="140" spans="2:15" ht="14.25" customHeight="1" x14ac:dyDescent="0.15">
      <c r="B140" s="2"/>
      <c r="C140" s="2"/>
      <c r="D140" s="2"/>
      <c r="E140" s="206">
        <v>0.7</v>
      </c>
      <c r="F140" s="206">
        <v>0.74</v>
      </c>
      <c r="G140" s="1254"/>
      <c r="H140" s="206">
        <v>0.81</v>
      </c>
      <c r="I140" s="206">
        <v>0.95</v>
      </c>
      <c r="J140" s="1316"/>
      <c r="K140" s="1278"/>
      <c r="L140" s="2"/>
      <c r="M140" s="685"/>
      <c r="N140" s="685"/>
      <c r="O140" s="685"/>
    </row>
    <row r="141" spans="2:15" x14ac:dyDescent="0.15">
      <c r="B141" s="2"/>
      <c r="C141" s="2"/>
      <c r="D141" s="2"/>
      <c r="E141" s="201"/>
      <c r="F141" s="201"/>
      <c r="G141" s="1314"/>
      <c r="H141" s="201"/>
      <c r="I141" s="201"/>
      <c r="J141" s="1316"/>
      <c r="K141" s="1278"/>
      <c r="L141" s="2"/>
      <c r="M141" s="400"/>
      <c r="N141" s="58"/>
      <c r="O141" s="58"/>
    </row>
    <row r="142" spans="2:15" x14ac:dyDescent="0.15">
      <c r="B142" s="2"/>
      <c r="C142" s="2"/>
      <c r="D142" s="2"/>
      <c r="E142" s="206"/>
      <c r="F142" s="206"/>
      <c r="G142" s="1254"/>
      <c r="H142" s="206"/>
      <c r="I142" s="206"/>
      <c r="J142" s="1316"/>
      <c r="K142" s="1278"/>
      <c r="L142" s="2"/>
      <c r="M142" s="398"/>
      <c r="N142" s="398"/>
      <c r="O142" s="398"/>
    </row>
    <row r="143" spans="2:15" x14ac:dyDescent="0.15">
      <c r="B143" s="2"/>
      <c r="C143" s="2"/>
      <c r="D143" s="2"/>
      <c r="E143" s="2"/>
      <c r="F143" s="2"/>
      <c r="G143" s="2"/>
      <c r="H143" s="2"/>
      <c r="I143" s="2"/>
      <c r="J143" s="2"/>
      <c r="K143" s="2"/>
      <c r="L143" s="2"/>
      <c r="M143" s="400"/>
      <c r="N143" s="58"/>
      <c r="O143" s="58"/>
    </row>
    <row r="144" spans="2:15" x14ac:dyDescent="0.15">
      <c r="B144" s="2"/>
      <c r="C144" s="2"/>
      <c r="D144" s="2"/>
      <c r="E144" s="2"/>
      <c r="F144" s="2"/>
      <c r="G144" s="2"/>
      <c r="H144" s="2"/>
      <c r="I144" s="2"/>
      <c r="J144" s="2"/>
      <c r="K144" s="2"/>
      <c r="L144" s="2"/>
      <c r="M144" s="400"/>
      <c r="N144" s="398"/>
      <c r="O144" s="398"/>
    </row>
    <row r="145" spans="1:15" x14ac:dyDescent="0.15">
      <c r="B145" s="685"/>
      <c r="C145" s="685"/>
      <c r="D145" s="686" t="s">
        <v>1274</v>
      </c>
      <c r="E145" s="686"/>
      <c r="F145" s="3" t="s">
        <v>1182</v>
      </c>
      <c r="G145" s="686"/>
      <c r="H145" s="686"/>
      <c r="I145" s="686"/>
      <c r="J145" s="686"/>
      <c r="K145" s="686"/>
      <c r="L145" s="686"/>
      <c r="M145" s="400"/>
      <c r="N145" s="58"/>
      <c r="O145" s="58"/>
    </row>
    <row r="146" spans="1:15" x14ac:dyDescent="0.15">
      <c r="B146" s="685"/>
      <c r="C146" s="685"/>
      <c r="D146" s="686"/>
      <c r="E146" s="686"/>
      <c r="F146" s="686" t="s">
        <v>1183</v>
      </c>
      <c r="G146" s="686"/>
      <c r="H146" s="686"/>
      <c r="I146" s="686"/>
      <c r="J146" s="686"/>
      <c r="K146" s="686"/>
      <c r="L146" s="686"/>
      <c r="M146" s="400"/>
      <c r="N146" s="398"/>
      <c r="O146" s="398"/>
    </row>
    <row r="147" spans="1:15" ht="15" thickBot="1" x14ac:dyDescent="0.2">
      <c r="A147" s="9"/>
      <c r="B147" s="685"/>
      <c r="C147" s="1299"/>
      <c r="D147" s="9"/>
      <c r="E147" s="686"/>
      <c r="F147" s="686"/>
      <c r="G147" s="686"/>
      <c r="H147" s="686"/>
      <c r="I147" s="686"/>
      <c r="J147" s="686"/>
      <c r="K147" s="686"/>
      <c r="L147" s="686"/>
      <c r="M147" s="58"/>
      <c r="N147" s="58"/>
    </row>
    <row r="148" spans="1:15" ht="14.25" customHeight="1" x14ac:dyDescent="0.15">
      <c r="A148" s="9"/>
      <c r="B148" s="685"/>
      <c r="C148" s="1299"/>
      <c r="D148" s="9"/>
      <c r="E148" s="1230" t="s">
        <v>709</v>
      </c>
      <c r="F148" s="1231"/>
      <c r="G148" s="1231"/>
      <c r="H148" s="1231"/>
      <c r="I148" s="1231"/>
      <c r="J148" s="1232"/>
      <c r="K148" s="1233"/>
      <c r="L148" s="686"/>
      <c r="M148" s="398"/>
      <c r="N148" s="398"/>
    </row>
    <row r="149" spans="1:15" ht="14.25" customHeight="1" x14ac:dyDescent="0.15">
      <c r="A149" s="9"/>
      <c r="B149" s="685"/>
      <c r="C149" s="1299"/>
      <c r="D149" s="9"/>
      <c r="E149" s="1237">
        <v>1</v>
      </c>
      <c r="F149" s="1238"/>
      <c r="G149" s="1237">
        <v>2</v>
      </c>
      <c r="H149" s="1238"/>
      <c r="I149" s="1239" t="s">
        <v>486</v>
      </c>
      <c r="J149" s="1241" t="s">
        <v>710</v>
      </c>
      <c r="K149" s="1242" t="s">
        <v>165</v>
      </c>
      <c r="L149" s="686"/>
      <c r="M149" s="58"/>
      <c r="N149" s="58"/>
    </row>
    <row r="150" spans="1:15" ht="15" thickBot="1" x14ac:dyDescent="0.2">
      <c r="A150" s="9"/>
      <c r="B150" s="685"/>
      <c r="C150" s="1299"/>
      <c r="D150" s="9"/>
      <c r="E150" s="684" t="s">
        <v>1097</v>
      </c>
      <c r="F150" s="684" t="s">
        <v>1098</v>
      </c>
      <c r="G150" s="684" t="s">
        <v>1099</v>
      </c>
      <c r="H150" s="684" t="s">
        <v>1100</v>
      </c>
      <c r="I150" s="1240"/>
      <c r="J150" s="1240"/>
      <c r="K150" s="1243"/>
      <c r="L150" s="686"/>
      <c r="M150" s="398"/>
      <c r="N150" s="398"/>
    </row>
    <row r="151" spans="1:15" x14ac:dyDescent="0.15">
      <c r="A151" s="9"/>
      <c r="B151" s="685"/>
      <c r="C151" s="1299"/>
      <c r="D151" s="9"/>
      <c r="E151" s="712">
        <v>1.5</v>
      </c>
      <c r="F151" s="713">
        <v>12</v>
      </c>
      <c r="G151" s="714">
        <v>3</v>
      </c>
      <c r="H151" s="715">
        <v>9</v>
      </c>
      <c r="I151" s="1304">
        <v>45</v>
      </c>
      <c r="J151" s="1304">
        <v>0.92763157894736836</v>
      </c>
      <c r="K151" s="1317" t="s">
        <v>752</v>
      </c>
      <c r="L151" s="686"/>
      <c r="M151" s="58"/>
      <c r="N151" s="58"/>
    </row>
    <row r="152" spans="1:15" x14ac:dyDescent="0.15">
      <c r="A152" s="9"/>
      <c r="B152" s="685"/>
      <c r="C152" s="1299"/>
      <c r="D152" s="9"/>
      <c r="E152" s="716"/>
      <c r="F152" s="717"/>
      <c r="G152" s="718"/>
      <c r="H152" s="719"/>
      <c r="I152" s="1301"/>
      <c r="J152" s="1301"/>
      <c r="K152" s="1303"/>
      <c r="L152" s="686"/>
      <c r="M152" s="398"/>
      <c r="N152" s="398"/>
    </row>
    <row r="153" spans="1:15" x14ac:dyDescent="0.15">
      <c r="E153" s="369"/>
      <c r="F153" s="370"/>
      <c r="G153" s="371"/>
      <c r="H153" s="372"/>
      <c r="I153" s="1300">
        <v>0</v>
      </c>
      <c r="J153" s="1300" t="s">
        <v>853</v>
      </c>
      <c r="K153" s="1302" t="s">
        <v>853</v>
      </c>
    </row>
    <row r="154" spans="1:15" x14ac:dyDescent="0.15">
      <c r="E154" s="365"/>
      <c r="F154" s="366"/>
      <c r="G154" s="367"/>
      <c r="H154" s="368"/>
      <c r="I154" s="1301"/>
      <c r="J154" s="1301"/>
      <c r="K154" s="1303"/>
    </row>
    <row r="156" spans="1:15" x14ac:dyDescent="0.15">
      <c r="B156" s="3">
        <v>6</v>
      </c>
      <c r="C156" s="3" t="s">
        <v>760</v>
      </c>
    </row>
    <row r="157" spans="1:15" x14ac:dyDescent="0.15">
      <c r="C157" s="3" t="s">
        <v>761</v>
      </c>
      <c r="K157" s="3" t="s">
        <v>1192</v>
      </c>
    </row>
    <row r="158" spans="1:15" x14ac:dyDescent="0.15">
      <c r="C158" s="3" t="s">
        <v>1087</v>
      </c>
      <c r="F158" s="3" t="s">
        <v>1260</v>
      </c>
    </row>
    <row r="160" spans="1:15" x14ac:dyDescent="0.15">
      <c r="E160" s="687" t="s">
        <v>1259</v>
      </c>
      <c r="G160" s="3" t="s">
        <v>1262</v>
      </c>
    </row>
    <row r="161" spans="1:14" x14ac:dyDescent="0.15">
      <c r="G161" s="3" t="s">
        <v>1258</v>
      </c>
    </row>
    <row r="162" spans="1:14" x14ac:dyDescent="0.15">
      <c r="F162" s="3" t="s">
        <v>1261</v>
      </c>
    </row>
    <row r="164" spans="1:14" x14ac:dyDescent="0.15">
      <c r="B164" s="2"/>
      <c r="C164" s="2"/>
      <c r="D164" s="2"/>
      <c r="E164" s="2"/>
      <c r="F164" s="2"/>
      <c r="G164" s="2"/>
      <c r="H164" s="2"/>
      <c r="I164" s="2"/>
    </row>
    <row r="165" spans="1:14" x14ac:dyDescent="0.15">
      <c r="A165" s="23"/>
      <c r="B165" s="9"/>
      <c r="C165" s="9"/>
      <c r="D165" s="9"/>
      <c r="E165" s="9"/>
      <c r="F165" s="9"/>
      <c r="G165" s="9"/>
      <c r="H165" s="9"/>
      <c r="I165" s="9"/>
      <c r="J165" s="23"/>
      <c r="K165" s="23"/>
      <c r="L165" s="23"/>
      <c r="M165" s="23"/>
      <c r="N165" s="23"/>
    </row>
    <row r="186" spans="2:3" x14ac:dyDescent="0.15">
      <c r="B186" s="3">
        <v>7</v>
      </c>
      <c r="C186" s="3" t="s">
        <v>762</v>
      </c>
    </row>
    <row r="187" spans="2:3" x14ac:dyDescent="0.15">
      <c r="B187" s="3">
        <v>8</v>
      </c>
      <c r="C187" s="3" t="s">
        <v>763</v>
      </c>
    </row>
    <row r="188" spans="2:3" x14ac:dyDescent="0.15">
      <c r="C188" s="3" t="s">
        <v>764</v>
      </c>
    </row>
    <row r="189" spans="2:3" x14ac:dyDescent="0.15">
      <c r="B189" s="3">
        <v>9</v>
      </c>
      <c r="C189" s="3" t="s">
        <v>765</v>
      </c>
    </row>
    <row r="190" spans="2:3" x14ac:dyDescent="0.15">
      <c r="C190" s="3" t="s">
        <v>766</v>
      </c>
    </row>
    <row r="210" spans="2:13" ht="15" thickBot="1" x14ac:dyDescent="0.2"/>
    <row r="211" spans="2:13" x14ac:dyDescent="0.15">
      <c r="B211" s="377" t="s">
        <v>1088</v>
      </c>
      <c r="C211" s="3" t="s">
        <v>788</v>
      </c>
      <c r="K211" s="1196" t="s">
        <v>211</v>
      </c>
    </row>
    <row r="212" spans="2:13" x14ac:dyDescent="0.15">
      <c r="C212" s="3" t="s">
        <v>789</v>
      </c>
      <c r="K212" s="1276"/>
    </row>
    <row r="213" spans="2:13" ht="15" thickBot="1" x14ac:dyDescent="0.2">
      <c r="B213" s="377" t="s">
        <v>1088</v>
      </c>
      <c r="C213" s="3" t="s">
        <v>774</v>
      </c>
      <c r="K213" s="677" t="s">
        <v>212</v>
      </c>
    </row>
    <row r="214" spans="2:13" x14ac:dyDescent="0.15">
      <c r="C214" s="3" t="s">
        <v>775</v>
      </c>
    </row>
    <row r="215" spans="2:13" x14ac:dyDescent="0.15">
      <c r="B215" s="377" t="s">
        <v>1088</v>
      </c>
      <c r="C215" s="3" t="s">
        <v>776</v>
      </c>
      <c r="K215" s="709" t="s">
        <v>1206</v>
      </c>
      <c r="L215" s="710"/>
      <c r="M215" s="711"/>
    </row>
    <row r="216" spans="2:13" x14ac:dyDescent="0.15">
      <c r="C216" s="3" t="s">
        <v>777</v>
      </c>
    </row>
    <row r="217" spans="2:13" x14ac:dyDescent="0.15">
      <c r="B217" s="377" t="s">
        <v>415</v>
      </c>
      <c r="C217" s="3" t="s">
        <v>1186</v>
      </c>
    </row>
    <row r="218" spans="2:13" ht="15" thickBot="1" x14ac:dyDescent="0.2"/>
    <row r="219" spans="2:13" ht="15" customHeight="1" thickBot="1" x14ac:dyDescent="0.2">
      <c r="B219" s="1189" t="s">
        <v>167</v>
      </c>
      <c r="C219" s="1190"/>
      <c r="D219" s="1191" t="s">
        <v>807</v>
      </c>
      <c r="E219" s="1192" t="s">
        <v>190</v>
      </c>
      <c r="F219" s="1192"/>
      <c r="G219" s="1196" t="s">
        <v>239</v>
      </c>
      <c r="H219" s="1196" t="s">
        <v>240</v>
      </c>
      <c r="I219" s="1196" t="s">
        <v>196</v>
      </c>
      <c r="J219" s="1227" t="s">
        <v>15</v>
      </c>
      <c r="K219" s="1299"/>
      <c r="L219" s="1299"/>
      <c r="M219" s="1299"/>
    </row>
    <row r="220" spans="2:13" ht="15" thickBot="1" x14ac:dyDescent="0.2">
      <c r="B220" s="389"/>
      <c r="C220" s="326" t="s">
        <v>809</v>
      </c>
      <c r="D220" s="1191"/>
      <c r="E220" s="178" t="s">
        <v>184</v>
      </c>
      <c r="F220" s="179" t="s">
        <v>191</v>
      </c>
      <c r="G220" s="1159"/>
      <c r="H220" s="1159"/>
      <c r="I220" s="1159"/>
      <c r="J220" s="1298"/>
      <c r="K220" s="899"/>
      <c r="L220" s="899"/>
      <c r="M220" s="899"/>
    </row>
    <row r="221" spans="2:13" ht="15" customHeight="1" thickBot="1" x14ac:dyDescent="0.2">
      <c r="B221" s="1365" t="s">
        <v>816</v>
      </c>
      <c r="C221" s="1162" t="s">
        <v>810</v>
      </c>
      <c r="D221" s="329"/>
      <c r="E221" s="1356"/>
      <c r="F221" s="1169" t="s">
        <v>853</v>
      </c>
      <c r="G221" s="1358"/>
      <c r="H221" s="1358"/>
      <c r="I221" s="1360"/>
      <c r="J221" s="1361"/>
      <c r="K221" s="797"/>
      <c r="L221" s="899"/>
      <c r="M221" s="9"/>
    </row>
    <row r="222" spans="2:13" x14ac:dyDescent="0.15">
      <c r="B222" s="1366"/>
      <c r="C222" s="1163"/>
      <c r="D222" s="330"/>
      <c r="E222" s="1357"/>
      <c r="F222" s="1166"/>
      <c r="G222" s="1359"/>
      <c r="H222" s="1359"/>
      <c r="I222" s="1358"/>
      <c r="J222" s="1362"/>
      <c r="K222" s="1299"/>
      <c r="L222" s="1299"/>
      <c r="M222" s="9"/>
    </row>
    <row r="223" spans="2:13" x14ac:dyDescent="0.15">
      <c r="B223" s="1366"/>
    </row>
    <row r="224" spans="2:13" x14ac:dyDescent="0.15">
      <c r="B224" s="1366"/>
      <c r="G224" s="687" t="s">
        <v>1275</v>
      </c>
      <c r="H224" s="687"/>
    </row>
    <row r="225" spans="2:14" x14ac:dyDescent="0.15">
      <c r="B225" s="1366"/>
    </row>
    <row r="226" spans="2:14" ht="15" thickBot="1" x14ac:dyDescent="0.2"/>
    <row r="227" spans="2:14" ht="14.25" customHeight="1" x14ac:dyDescent="0.15">
      <c r="B227" s="1367" t="s">
        <v>167</v>
      </c>
      <c r="C227" s="1162"/>
      <c r="D227" s="1370" t="s">
        <v>807</v>
      </c>
      <c r="E227" s="1279" t="s">
        <v>190</v>
      </c>
      <c r="F227" s="1192"/>
      <c r="G227" s="1375" t="s">
        <v>239</v>
      </c>
      <c r="H227" s="1375" t="s">
        <v>196</v>
      </c>
    </row>
    <row r="228" spans="2:14" x14ac:dyDescent="0.15">
      <c r="B228" s="1368"/>
      <c r="C228" s="1369"/>
      <c r="D228" s="1371"/>
      <c r="E228" s="1373"/>
      <c r="F228" s="1374"/>
      <c r="G228" s="1376"/>
      <c r="H228" s="1378"/>
    </row>
    <row r="229" spans="2:14" ht="15" thickBot="1" x14ac:dyDescent="0.2">
      <c r="B229" s="389"/>
      <c r="C229" s="890" t="s">
        <v>809</v>
      </c>
      <c r="D229" s="1372"/>
      <c r="E229" s="907" t="s">
        <v>184</v>
      </c>
      <c r="F229" s="179" t="s">
        <v>191</v>
      </c>
      <c r="G229" s="1377"/>
      <c r="H229" s="1379"/>
    </row>
    <row r="230" spans="2:14" ht="15" customHeight="1" x14ac:dyDescent="0.15">
      <c r="B230" s="1380" t="s">
        <v>673</v>
      </c>
      <c r="C230" s="1280" t="s">
        <v>831</v>
      </c>
      <c r="D230" s="898" t="s">
        <v>216</v>
      </c>
      <c r="E230" s="897"/>
      <c r="F230" s="275" t="s">
        <v>853</v>
      </c>
      <c r="G230" s="895"/>
      <c r="H230" s="895"/>
    </row>
    <row r="231" spans="2:14" ht="15" thickBot="1" x14ac:dyDescent="0.2">
      <c r="B231" s="1381"/>
      <c r="C231" s="1166"/>
      <c r="D231" s="277" t="s">
        <v>217</v>
      </c>
      <c r="E231" s="278">
        <v>0</v>
      </c>
      <c r="F231" s="277" t="s">
        <v>853</v>
      </c>
      <c r="G231" s="221">
        <v>0</v>
      </c>
      <c r="H231" s="279"/>
    </row>
    <row r="232" spans="2:14" x14ac:dyDescent="0.15">
      <c r="J232" s="687" t="s">
        <v>1278</v>
      </c>
    </row>
    <row r="233" spans="2:14" x14ac:dyDescent="0.15">
      <c r="E233" s="3" t="s">
        <v>1276</v>
      </c>
      <c r="H233" s="687" t="s">
        <v>1277</v>
      </c>
    </row>
    <row r="234" spans="2:14" ht="15" thickBot="1" x14ac:dyDescent="0.2"/>
    <row r="235" spans="2:14" ht="15" thickBot="1" x14ac:dyDescent="0.2">
      <c r="B235" s="633" t="s">
        <v>1076</v>
      </c>
      <c r="C235" s="634"/>
      <c r="D235" s="654"/>
      <c r="E235" s="635"/>
      <c r="F235" s="194"/>
      <c r="G235" s="194"/>
      <c r="H235" s="194"/>
      <c r="I235" s="194"/>
      <c r="J235" s="194"/>
      <c r="K235" s="194"/>
      <c r="L235" s="194"/>
      <c r="M235" s="194"/>
      <c r="N235" s="23"/>
    </row>
    <row r="236" spans="2:14" ht="15" thickBot="1" x14ac:dyDescent="0.2">
      <c r="B236" s="1172" t="s">
        <v>192</v>
      </c>
      <c r="C236" s="1173"/>
      <c r="D236" s="1173"/>
      <c r="E236" s="1173"/>
      <c r="F236" s="891" t="s">
        <v>161</v>
      </c>
      <c r="G236" s="408" t="s">
        <v>739</v>
      </c>
      <c r="H236" s="1350" t="s">
        <v>771</v>
      </c>
      <c r="I236" s="1351"/>
      <c r="J236" s="1353" t="s">
        <v>1279</v>
      </c>
      <c r="K236" s="1174"/>
      <c r="L236" s="169" t="s">
        <v>162</v>
      </c>
      <c r="M236" s="170">
        <v>1</v>
      </c>
      <c r="N236" s="9"/>
    </row>
    <row r="237" spans="2:14" ht="15" customHeight="1" thickBot="1" x14ac:dyDescent="0.2">
      <c r="B237" s="1235"/>
      <c r="C237" s="1382"/>
      <c r="D237" s="1382"/>
      <c r="E237" s="1382"/>
      <c r="F237" s="1178" t="s">
        <v>653</v>
      </c>
      <c r="G237" s="1179"/>
      <c r="H237" s="1279" t="s">
        <v>1210</v>
      </c>
      <c r="I237" s="1385"/>
      <c r="J237" s="1229"/>
      <c r="K237" s="1363"/>
      <c r="L237" s="1279" t="s">
        <v>207</v>
      </c>
      <c r="M237" s="1364"/>
      <c r="N237" s="1386"/>
    </row>
    <row r="238" spans="2:14" ht="15" thickBot="1" x14ac:dyDescent="0.2">
      <c r="B238" s="1383"/>
      <c r="C238" s="1384"/>
      <c r="D238" s="1384"/>
      <c r="E238" s="1384"/>
      <c r="F238" s="1354"/>
      <c r="G238" s="1355"/>
      <c r="H238" s="1388" t="s">
        <v>1280</v>
      </c>
      <c r="I238" s="1389"/>
      <c r="J238" s="1390"/>
      <c r="K238" s="1391"/>
      <c r="L238" s="784">
        <v>1</v>
      </c>
      <c r="M238" s="466" t="s">
        <v>208</v>
      </c>
      <c r="N238" s="1387"/>
    </row>
    <row r="239" spans="2:14" ht="14.25" customHeight="1" x14ac:dyDescent="0.15">
      <c r="B239" s="1189" t="s">
        <v>167</v>
      </c>
      <c r="C239" s="1190"/>
      <c r="D239" s="1200" t="s">
        <v>807</v>
      </c>
      <c r="E239" s="1192" t="s">
        <v>190</v>
      </c>
      <c r="F239" s="1192"/>
      <c r="G239" s="1197" t="s">
        <v>968</v>
      </c>
      <c r="H239" s="1393"/>
      <c r="I239" s="1393"/>
      <c r="J239" s="1394"/>
      <c r="K239" s="1200" t="s">
        <v>15</v>
      </c>
      <c r="L239" s="1197" t="s">
        <v>783</v>
      </c>
      <c r="M239" s="1396"/>
      <c r="N239" s="899"/>
    </row>
    <row r="240" spans="2:14" ht="15" thickBot="1" x14ac:dyDescent="0.2">
      <c r="B240" s="437"/>
      <c r="C240" s="889" t="s">
        <v>809</v>
      </c>
      <c r="D240" s="1392"/>
      <c r="E240" s="417" t="s">
        <v>184</v>
      </c>
      <c r="F240" s="418" t="s">
        <v>191</v>
      </c>
      <c r="G240" s="1209" t="s">
        <v>964</v>
      </c>
      <c r="H240" s="1395"/>
      <c r="I240" s="1209" t="s">
        <v>967</v>
      </c>
      <c r="J240" s="1395"/>
      <c r="K240" s="1291"/>
      <c r="L240" s="893" t="s">
        <v>781</v>
      </c>
      <c r="M240" s="553" t="s">
        <v>163</v>
      </c>
      <c r="N240" s="899"/>
    </row>
    <row r="241" spans="2:25" ht="14.25" customHeight="1" x14ac:dyDescent="0.15">
      <c r="B241" s="1398" t="s">
        <v>1074</v>
      </c>
      <c r="C241" s="1400" t="s">
        <v>486</v>
      </c>
      <c r="D241" s="331"/>
      <c r="E241" s="1357">
        <v>4</v>
      </c>
      <c r="F241" s="1165">
        <v>0.91700000000000004</v>
      </c>
      <c r="G241" s="892" t="s">
        <v>962</v>
      </c>
      <c r="H241" s="892" t="s">
        <v>963</v>
      </c>
      <c r="I241" s="892" t="s">
        <v>965</v>
      </c>
      <c r="J241" s="892" t="s">
        <v>966</v>
      </c>
      <c r="K241" s="1309" t="s">
        <v>23</v>
      </c>
      <c r="L241" s="1294">
        <v>120</v>
      </c>
      <c r="M241" s="1228" t="s">
        <v>851</v>
      </c>
      <c r="N241" s="686"/>
    </row>
    <row r="242" spans="2:25" x14ac:dyDescent="0.15">
      <c r="B242" s="1398"/>
      <c r="C242" s="1400"/>
      <c r="D242" s="330"/>
      <c r="E242" s="1357"/>
      <c r="F242" s="1166"/>
      <c r="G242" s="894">
        <v>1</v>
      </c>
      <c r="H242" s="894">
        <v>1</v>
      </c>
      <c r="I242" s="894">
        <v>1.82</v>
      </c>
      <c r="J242" s="894">
        <v>1.82</v>
      </c>
      <c r="K242" s="1401"/>
      <c r="L242" s="1248"/>
      <c r="M242" s="1252"/>
      <c r="N242" s="908"/>
    </row>
    <row r="243" spans="2:25" ht="14.25" customHeight="1" x14ac:dyDescent="0.15">
      <c r="B243" s="1398"/>
      <c r="C243" s="1217" t="s">
        <v>980</v>
      </c>
      <c r="D243" s="1403" t="s">
        <v>961</v>
      </c>
      <c r="E243" s="1404"/>
      <c r="F243" s="1407" t="s">
        <v>964</v>
      </c>
      <c r="G243" s="1408"/>
      <c r="H243" s="1239" t="s">
        <v>970</v>
      </c>
      <c r="I243" s="1215" t="s">
        <v>967</v>
      </c>
      <c r="J243" s="1397"/>
      <c r="K243" s="461"/>
      <c r="L243" s="194"/>
      <c r="M243" s="194"/>
      <c r="N243" s="9"/>
    </row>
    <row r="244" spans="2:25" x14ac:dyDescent="0.15">
      <c r="B244" s="1398"/>
      <c r="C244" s="1402"/>
      <c r="D244" s="1405"/>
      <c r="E244" s="1406"/>
      <c r="F244" s="411" t="s">
        <v>971</v>
      </c>
      <c r="G244" s="903" t="s">
        <v>972</v>
      </c>
      <c r="H244" s="1409"/>
      <c r="I244" s="892" t="s">
        <v>981</v>
      </c>
      <c r="J244" s="904" t="s">
        <v>982</v>
      </c>
      <c r="K244" s="905" t="s">
        <v>1011</v>
      </c>
      <c r="L244" s="194"/>
      <c r="M244" s="194"/>
      <c r="N244" s="9"/>
    </row>
    <row r="245" spans="2:25" x14ac:dyDescent="0.15">
      <c r="B245" s="1398"/>
      <c r="C245" s="1219"/>
      <c r="D245" s="1322"/>
      <c r="E245" s="1211"/>
      <c r="F245" s="896">
        <v>1</v>
      </c>
      <c r="G245" s="896">
        <v>1</v>
      </c>
      <c r="H245" s="1410"/>
      <c r="I245" s="896">
        <v>1.9</v>
      </c>
      <c r="J245" s="413">
        <v>1.74</v>
      </c>
      <c r="K245" s="464">
        <v>3.6399999999999997</v>
      </c>
      <c r="L245" s="194"/>
      <c r="M245" s="194"/>
      <c r="N245" s="9"/>
    </row>
    <row r="246" spans="2:25" ht="15" thickBot="1" x14ac:dyDescent="0.2">
      <c r="B246" s="1399"/>
      <c r="C246" s="1411" t="s">
        <v>1002</v>
      </c>
      <c r="D246" s="1412"/>
      <c r="E246" s="1156" t="s">
        <v>251</v>
      </c>
      <c r="F246" s="465" t="s">
        <v>1003</v>
      </c>
      <c r="G246" s="1155" t="s">
        <v>727</v>
      </c>
      <c r="H246" s="893" t="s">
        <v>1004</v>
      </c>
      <c r="I246" s="460">
        <v>3</v>
      </c>
      <c r="J246" s="466"/>
      <c r="K246" s="900"/>
      <c r="L246" s="1275"/>
      <c r="M246" s="1275"/>
      <c r="N246" s="9"/>
    </row>
    <row r="248" spans="2:25" x14ac:dyDescent="0.15">
      <c r="C248" s="555"/>
      <c r="E248" s="909" t="s">
        <v>1221</v>
      </c>
      <c r="F248" s="687"/>
      <c r="H248" s="687"/>
      <c r="I248" s="687"/>
      <c r="J248" s="687"/>
      <c r="K248" s="687" t="s">
        <v>1281</v>
      </c>
      <c r="L248" s="2"/>
    </row>
    <row r="249" spans="2:25" x14ac:dyDescent="0.15">
      <c r="C249" s="910" t="s">
        <v>1184</v>
      </c>
      <c r="D249" s="687"/>
      <c r="E249" s="687"/>
      <c r="F249" s="687"/>
      <c r="G249" s="687"/>
      <c r="H249" s="687"/>
      <c r="I249" s="687"/>
    </row>
    <row r="250" spans="2:25" x14ac:dyDescent="0.15">
      <c r="C250" s="664"/>
      <c r="D250" s="555"/>
      <c r="L250" s="720" t="s">
        <v>1204</v>
      </c>
      <c r="M250" s="721"/>
    </row>
    <row r="251" spans="2:25" ht="15" thickBot="1" x14ac:dyDescent="0.2">
      <c r="L251" s="722" t="s">
        <v>1205</v>
      </c>
      <c r="M251" s="723"/>
      <c r="P251" s="685"/>
      <c r="Q251" s="685"/>
      <c r="R251" s="685"/>
      <c r="S251" s="685"/>
      <c r="T251" s="685"/>
      <c r="U251" s="28"/>
      <c r="V251" s="9"/>
      <c r="W251" s="98"/>
      <c r="X251" s="9"/>
      <c r="Y251" s="686"/>
    </row>
    <row r="252" spans="2:25" ht="15" customHeight="1" thickBot="1" x14ac:dyDescent="0.2">
      <c r="C252" s="169" t="s">
        <v>162</v>
      </c>
      <c r="D252" s="170">
        <v>1</v>
      </c>
      <c r="E252" s="635" t="s">
        <v>475</v>
      </c>
      <c r="F252" s="302"/>
      <c r="G252" s="302"/>
      <c r="H252" s="302"/>
      <c r="I252" s="302"/>
      <c r="J252" s="769"/>
      <c r="K252" s="769"/>
      <c r="L252" s="302"/>
      <c r="M252" s="302"/>
      <c r="N252" s="749"/>
    </row>
    <row r="253" spans="2:25" ht="14.25" customHeight="1" x14ac:dyDescent="0.15">
      <c r="C253" s="1279" t="s">
        <v>207</v>
      </c>
      <c r="D253" s="1280"/>
      <c r="E253" s="1281" t="s">
        <v>419</v>
      </c>
      <c r="F253" s="1172" t="s">
        <v>165</v>
      </c>
      <c r="G253" s="1283"/>
      <c r="H253" s="1228" t="s">
        <v>243</v>
      </c>
      <c r="I253" s="1286"/>
      <c r="J253" s="1286"/>
      <c r="K253" s="1286"/>
      <c r="L253" s="1287"/>
      <c r="M253" s="1200" t="s">
        <v>241</v>
      </c>
      <c r="N253" s="749"/>
    </row>
    <row r="254" spans="2:25" ht="15" thickBot="1" x14ac:dyDescent="0.2">
      <c r="C254" s="784">
        <f>+断面算定!K166</f>
        <v>0</v>
      </c>
      <c r="D254" s="224" t="s">
        <v>208</v>
      </c>
      <c r="E254" s="1282"/>
      <c r="F254" s="1284"/>
      <c r="G254" s="1285"/>
      <c r="H254" s="1288"/>
      <c r="I254" s="1288"/>
      <c r="J254" s="1288"/>
      <c r="K254" s="1288"/>
      <c r="L254" s="1289"/>
      <c r="M254" s="1290"/>
      <c r="N254" s="749"/>
    </row>
    <row r="255" spans="2:25" ht="14.25" customHeight="1" x14ac:dyDescent="0.15">
      <c r="C255" s="1192" t="s">
        <v>783</v>
      </c>
      <c r="D255" s="1192"/>
      <c r="E255" s="1192"/>
      <c r="F255" s="656" t="s">
        <v>188</v>
      </c>
      <c r="G255" s="1292" t="s">
        <v>242</v>
      </c>
      <c r="H255" s="724" t="s">
        <v>465</v>
      </c>
      <c r="I255" s="1209" t="s">
        <v>418</v>
      </c>
      <c r="J255" s="1210"/>
      <c r="K255" s="1211"/>
      <c r="L255" s="1293" t="s">
        <v>1069</v>
      </c>
      <c r="M255" s="1290"/>
      <c r="N255" s="749"/>
    </row>
    <row r="256" spans="2:25" ht="15" thickBot="1" x14ac:dyDescent="0.2">
      <c r="C256" s="459" t="s">
        <v>781</v>
      </c>
      <c r="D256" s="459" t="s">
        <v>163</v>
      </c>
      <c r="E256" s="459" t="s">
        <v>782</v>
      </c>
      <c r="F256" s="728" t="s">
        <v>189</v>
      </c>
      <c r="G256" s="1240"/>
      <c r="H256" s="459" t="s">
        <v>784</v>
      </c>
      <c r="I256" s="728" t="s">
        <v>480</v>
      </c>
      <c r="J256" s="728" t="s">
        <v>481</v>
      </c>
      <c r="K256" s="728" t="s">
        <v>482</v>
      </c>
      <c r="L256" s="1291"/>
      <c r="M256" s="1291"/>
      <c r="N256" s="749"/>
    </row>
    <row r="257" spans="3:14" ht="14.25" customHeight="1" x14ac:dyDescent="0.15">
      <c r="C257" s="1294">
        <v>120</v>
      </c>
      <c r="D257" s="1229" t="str">
        <f>+IF(C257=0,0,"×")</f>
        <v>×</v>
      </c>
      <c r="E257" s="1295">
        <v>210</v>
      </c>
      <c r="F257" s="1296" t="s">
        <v>1217</v>
      </c>
      <c r="G257" s="1296" t="str">
        <f>IF(AND(I257=0,M261=0),0,IF(IF(P257&gt;=S257,P257,S257)&lt;=1,"OK!","NO!"))</f>
        <v>OK!</v>
      </c>
      <c r="H257" s="1267"/>
      <c r="I257" s="1269">
        <v>12</v>
      </c>
      <c r="J257" s="1271">
        <v>11.04</v>
      </c>
      <c r="K257" s="1253">
        <f>IF(AND(I257=0,M261=0),0,IF(J257=0,$I$279*AI253*O261/100,ROUND(POWER(I257*J257,2)/(C257/10*IF(H257=0,E257/10,H257/10)),2)))</f>
        <v>69.650000000000006</v>
      </c>
      <c r="L257" s="1257">
        <v>69.569999999999993</v>
      </c>
      <c r="M257" s="1247">
        <v>1</v>
      </c>
      <c r="N257" s="749"/>
    </row>
    <row r="258" spans="3:14" x14ac:dyDescent="0.15">
      <c r="C258" s="1248"/>
      <c r="D258" s="1285"/>
      <c r="E258" s="1258"/>
      <c r="F258" s="1258"/>
      <c r="G258" s="1297"/>
      <c r="H258" s="1268"/>
      <c r="I258" s="1270"/>
      <c r="J258" s="1254"/>
      <c r="K258" s="1272"/>
      <c r="L258" s="1254"/>
      <c r="M258" s="1248"/>
      <c r="N258" s="749"/>
    </row>
    <row r="259" spans="3:14" x14ac:dyDescent="0.15">
      <c r="C259" s="194"/>
      <c r="D259" s="194"/>
      <c r="E259" s="194"/>
      <c r="F259" s="194"/>
      <c r="G259" s="194" t="s">
        <v>243</v>
      </c>
      <c r="H259" s="194"/>
      <c r="I259" s="743" t="s">
        <v>1154</v>
      </c>
      <c r="J259" s="744"/>
      <c r="K259" s="744"/>
      <c r="L259" s="744"/>
      <c r="M259" s="744"/>
      <c r="N259" s="749"/>
    </row>
    <row r="260" spans="3:14" x14ac:dyDescent="0.15">
      <c r="C260" s="194"/>
      <c r="D260" s="194" t="s">
        <v>1220</v>
      </c>
      <c r="E260" s="194"/>
      <c r="F260" s="194"/>
      <c r="G260" s="1277" t="s">
        <v>1187</v>
      </c>
      <c r="H260" s="1278"/>
      <c r="I260" s="440" t="s">
        <v>1101</v>
      </c>
      <c r="J260" s="440" t="s">
        <v>1102</v>
      </c>
      <c r="K260" s="440" t="s">
        <v>1103</v>
      </c>
      <c r="L260" s="440" t="s">
        <v>1104</v>
      </c>
      <c r="M260" s="440" t="s">
        <v>1105</v>
      </c>
      <c r="N260" s="749"/>
    </row>
    <row r="261" spans="3:14" x14ac:dyDescent="0.15">
      <c r="C261" s="194"/>
      <c r="D261" s="194"/>
      <c r="E261" s="194"/>
      <c r="F261" s="194"/>
      <c r="G261" s="1273" t="s">
        <v>1174</v>
      </c>
      <c r="H261" s="1274"/>
      <c r="I261" s="738">
        <v>15</v>
      </c>
      <c r="J261" s="738">
        <v>130</v>
      </c>
      <c r="K261" s="742">
        <f>+IF(J261=0,0,60)</f>
        <v>60</v>
      </c>
      <c r="L261" s="738">
        <v>120</v>
      </c>
      <c r="M261" s="738">
        <v>70</v>
      </c>
      <c r="N261" s="749"/>
    </row>
    <row r="262" spans="3:14" ht="15" thickBot="1" x14ac:dyDescent="0.2">
      <c r="C262" s="1275"/>
      <c r="D262" s="1275"/>
      <c r="E262" s="225"/>
      <c r="F262" s="747"/>
      <c r="G262" s="747"/>
      <c r="H262" s="747"/>
      <c r="I262" s="467"/>
      <c r="J262" s="422"/>
      <c r="K262" s="422"/>
      <c r="L262" s="423"/>
      <c r="M262" s="468"/>
      <c r="N262" s="749"/>
    </row>
    <row r="263" spans="3:14" ht="15" thickBot="1" x14ac:dyDescent="0.2">
      <c r="C263" s="792"/>
      <c r="D263" s="792"/>
      <c r="E263" s="792"/>
      <c r="F263" s="792"/>
      <c r="G263" s="792"/>
      <c r="H263" s="792"/>
      <c r="I263" s="792"/>
      <c r="J263" s="792"/>
      <c r="K263" s="792"/>
      <c r="L263" s="792"/>
      <c r="M263" s="792"/>
      <c r="N263" s="749"/>
    </row>
    <row r="264" spans="3:14" x14ac:dyDescent="0.15">
      <c r="C264" s="1227" t="s">
        <v>199</v>
      </c>
      <c r="D264" s="1228"/>
      <c r="E264" s="1229"/>
      <c r="F264" s="1227" t="s">
        <v>200</v>
      </c>
      <c r="G264" s="1228"/>
      <c r="H264" s="1229"/>
      <c r="I264" s="1249" t="s">
        <v>709</v>
      </c>
      <c r="J264" s="1250"/>
      <c r="K264" s="1250"/>
      <c r="L264" s="1250"/>
      <c r="M264" s="1250"/>
    </row>
    <row r="265" spans="3:14" x14ac:dyDescent="0.15">
      <c r="C265" s="1415"/>
      <c r="D265" s="1288"/>
      <c r="E265" s="1289"/>
      <c r="F265" s="1415"/>
      <c r="G265" s="1288"/>
      <c r="H265" s="1289"/>
      <c r="I265" s="1251"/>
      <c r="J265" s="1252"/>
      <c r="K265" s="1252"/>
      <c r="L265" s="1252"/>
      <c r="M265" s="1252"/>
    </row>
    <row r="266" spans="3:14" x14ac:dyDescent="0.15">
      <c r="C266" s="737" t="s">
        <v>188</v>
      </c>
      <c r="D266" s="737" t="s">
        <v>189</v>
      </c>
      <c r="E266" s="737" t="s">
        <v>242</v>
      </c>
      <c r="F266" s="737" t="s">
        <v>188</v>
      </c>
      <c r="G266" s="737" t="s">
        <v>189</v>
      </c>
      <c r="H266" s="737" t="s">
        <v>242</v>
      </c>
      <c r="I266" s="1237">
        <v>1</v>
      </c>
      <c r="J266" s="1238"/>
      <c r="K266" s="1237">
        <v>2</v>
      </c>
      <c r="L266" s="1238"/>
      <c r="M266" s="1293" t="s">
        <v>486</v>
      </c>
    </row>
    <row r="267" spans="3:14" ht="15" thickBot="1" x14ac:dyDescent="0.2">
      <c r="C267" s="179" t="s">
        <v>194</v>
      </c>
      <c r="D267" s="179" t="s">
        <v>195</v>
      </c>
      <c r="E267" s="179" t="s">
        <v>485</v>
      </c>
      <c r="F267" s="179" t="s">
        <v>194</v>
      </c>
      <c r="G267" s="179" t="s">
        <v>195</v>
      </c>
      <c r="H267" s="179" t="s">
        <v>485</v>
      </c>
      <c r="I267" s="740" t="s">
        <v>756</v>
      </c>
      <c r="J267" s="740" t="s">
        <v>757</v>
      </c>
      <c r="K267" s="740" t="s">
        <v>758</v>
      </c>
      <c r="L267" s="740" t="s">
        <v>759</v>
      </c>
      <c r="M267" s="1416"/>
    </row>
    <row r="268" spans="3:14" x14ac:dyDescent="0.15">
      <c r="C268" s="1257">
        <v>0.81</v>
      </c>
      <c r="D268" s="1257">
        <v>0.79</v>
      </c>
      <c r="E268" s="1257">
        <v>0.98</v>
      </c>
      <c r="F268" s="1257">
        <v>0.86</v>
      </c>
      <c r="G268" s="1257">
        <v>0.93</v>
      </c>
      <c r="H268" s="1257">
        <v>1</v>
      </c>
      <c r="I268" s="158">
        <v>12</v>
      </c>
      <c r="J268" s="426">
        <v>1.5</v>
      </c>
      <c r="K268" s="430"/>
      <c r="L268" s="428"/>
      <c r="M268" s="1253">
        <f>IF(I268=0,0,ROUND(I268*J268+K268*L268+I269*J269+K269*L269,2))</f>
        <v>18</v>
      </c>
    </row>
    <row r="269" spans="3:14" x14ac:dyDescent="0.15">
      <c r="C269" s="1258"/>
      <c r="D269" s="1258"/>
      <c r="E269" s="1254"/>
      <c r="F269" s="1258"/>
      <c r="G269" s="1258"/>
      <c r="H269" s="1254"/>
      <c r="I269" s="414"/>
      <c r="J269" s="427"/>
      <c r="K269" s="431"/>
      <c r="L269" s="429"/>
      <c r="M269" s="1254"/>
    </row>
    <row r="270" spans="3:14" x14ac:dyDescent="0.15">
      <c r="C270" s="744"/>
      <c r="D270" s="745"/>
      <c r="E270" s="453"/>
      <c r="F270" s="453"/>
      <c r="G270" s="453"/>
      <c r="H270" s="453"/>
      <c r="I270" s="462"/>
      <c r="J270" s="452"/>
      <c r="K270" s="451"/>
      <c r="L270" s="453"/>
      <c r="M270" s="452"/>
    </row>
    <row r="271" spans="3:14" x14ac:dyDescent="0.15">
      <c r="C271" s="440" t="s">
        <v>1151</v>
      </c>
      <c r="D271" s="440" t="s">
        <v>1153</v>
      </c>
      <c r="E271" s="324"/>
      <c r="F271" s="324"/>
      <c r="G271" s="324"/>
      <c r="H271" s="324"/>
      <c r="I271" s="463"/>
      <c r="J271" s="325"/>
      <c r="K271" s="302"/>
      <c r="L271" s="324"/>
      <c r="M271" s="325"/>
    </row>
    <row r="272" spans="3:14" x14ac:dyDescent="0.15">
      <c r="C272" s="742">
        <v>11.02</v>
      </c>
      <c r="D272" s="742">
        <v>0.95</v>
      </c>
      <c r="E272" s="324"/>
      <c r="F272" s="324"/>
      <c r="G272" s="324"/>
      <c r="H272" s="597" t="s">
        <v>1218</v>
      </c>
      <c r="I272" s="463"/>
      <c r="J272" s="325"/>
      <c r="K272" s="302"/>
      <c r="L272" s="324"/>
      <c r="M272" s="325"/>
    </row>
    <row r="273" spans="3:41" ht="15" thickBot="1" x14ac:dyDescent="0.2">
      <c r="C273" s="423"/>
      <c r="D273" s="423"/>
      <c r="E273" s="423"/>
      <c r="F273" s="423"/>
      <c r="G273" s="423"/>
      <c r="H273" s="791" t="s">
        <v>1219</v>
      </c>
      <c r="I273" s="467"/>
      <c r="J273" s="422"/>
      <c r="K273" s="225"/>
      <c r="L273" s="423"/>
      <c r="M273" s="422"/>
    </row>
    <row r="274" spans="3:41" ht="15" thickBot="1" x14ac:dyDescent="0.2">
      <c r="C274" s="792"/>
      <c r="D274" s="792"/>
      <c r="E274" s="792"/>
      <c r="F274" s="794"/>
      <c r="G274" s="793"/>
      <c r="H274" s="793"/>
      <c r="I274" s="793"/>
      <c r="J274" s="793"/>
      <c r="K274" s="793"/>
      <c r="L274" s="793"/>
      <c r="M274" s="749"/>
      <c r="N274" s="749"/>
    </row>
    <row r="275" spans="3:41" x14ac:dyDescent="0.15">
      <c r="C275" s="725"/>
      <c r="D275" s="726"/>
      <c r="E275" s="1259" t="s">
        <v>166</v>
      </c>
      <c r="F275" s="1260"/>
      <c r="G275" s="793"/>
      <c r="H275" s="793"/>
      <c r="I275" s="793"/>
      <c r="J275" s="793"/>
      <c r="K275" s="793"/>
      <c r="L275" s="793"/>
      <c r="M275" s="749"/>
      <c r="N275" s="749"/>
    </row>
    <row r="276" spans="3:41" x14ac:dyDescent="0.15">
      <c r="C276" s="795"/>
      <c r="D276" s="796"/>
      <c r="E276" s="1261"/>
      <c r="F276" s="1262"/>
      <c r="G276" s="793"/>
      <c r="H276" s="793"/>
      <c r="I276" s="793"/>
      <c r="J276" s="793"/>
      <c r="K276" s="793"/>
      <c r="L276" s="793"/>
      <c r="M276" s="749"/>
      <c r="N276" s="749"/>
      <c r="U276" s="9"/>
      <c r="V276" s="686"/>
    </row>
    <row r="277" spans="3:41" x14ac:dyDescent="0.15">
      <c r="C277" s="1265" t="s">
        <v>710</v>
      </c>
      <c r="D277" s="1413" t="s">
        <v>165</v>
      </c>
      <c r="E277" s="1261"/>
      <c r="F277" s="1262"/>
      <c r="G277" s="793"/>
      <c r="H277" s="793"/>
      <c r="I277" s="793"/>
      <c r="J277" s="793"/>
      <c r="K277" s="793"/>
      <c r="L277" s="793"/>
      <c r="M277" s="749"/>
      <c r="N277" s="749"/>
      <c r="U277" s="9"/>
      <c r="V277" s="686"/>
    </row>
    <row r="278" spans="3:41" ht="15" thickBot="1" x14ac:dyDescent="0.2">
      <c r="C278" s="1266"/>
      <c r="D278" s="1414"/>
      <c r="E278" s="1263"/>
      <c r="F278" s="1264"/>
      <c r="G278" s="793"/>
      <c r="H278" s="793"/>
      <c r="I278" s="793"/>
      <c r="J278" s="793"/>
      <c r="K278" s="793"/>
      <c r="L278" s="793"/>
      <c r="M278" s="749"/>
      <c r="N278" s="749"/>
    </row>
    <row r="279" spans="3:41" x14ac:dyDescent="0.15">
      <c r="C279" s="1253">
        <v>0.39</v>
      </c>
      <c r="D279" s="1255" t="str">
        <f>IF(C279=+"","",IF(C279&lt;=1,"OK!","NO!"))</f>
        <v>OK!</v>
      </c>
      <c r="E279" s="911" t="s">
        <v>1282</v>
      </c>
      <c r="F279" s="183">
        <v>200</v>
      </c>
      <c r="G279" s="793"/>
      <c r="H279" s="793"/>
      <c r="I279" s="793"/>
      <c r="J279" s="793"/>
      <c r="K279" s="793"/>
      <c r="L279" s="793"/>
      <c r="M279" s="749"/>
      <c r="N279" s="749"/>
      <c r="V279" s="686"/>
      <c r="W279" s="348"/>
      <c r="X279" s="402"/>
      <c r="Y279" s="9"/>
      <c r="Z279" s="685"/>
      <c r="AA279" s="85"/>
    </row>
    <row r="280" spans="3:41" x14ac:dyDescent="0.15">
      <c r="C280" s="1254"/>
      <c r="D280" s="1256"/>
      <c r="E280" s="912" t="s">
        <v>1282</v>
      </c>
      <c r="F280" s="416">
        <v>200</v>
      </c>
      <c r="G280" s="793"/>
      <c r="H280" s="793"/>
      <c r="I280" s="793"/>
      <c r="J280" s="793"/>
      <c r="K280" s="793"/>
      <c r="L280" s="793"/>
      <c r="M280" s="749"/>
      <c r="N280" s="749"/>
    </row>
    <row r="281" spans="3:41" x14ac:dyDescent="0.15">
      <c r="C281" s="452"/>
      <c r="D281" s="450"/>
      <c r="E281" s="454"/>
      <c r="F281" s="455"/>
      <c r="G281" s="793"/>
      <c r="H281" s="793"/>
      <c r="I281" s="793"/>
      <c r="J281" s="793"/>
      <c r="K281" s="793"/>
      <c r="L281" s="793"/>
      <c r="M281" s="749"/>
      <c r="N281" s="749"/>
    </row>
    <row r="282" spans="3:41" x14ac:dyDescent="0.15">
      <c r="C282" s="325"/>
      <c r="D282" s="746"/>
      <c r="E282" s="420"/>
      <c r="F282" s="421"/>
      <c r="G282" s="793"/>
      <c r="H282" s="793"/>
      <c r="I282" s="793"/>
      <c r="J282" s="793"/>
      <c r="K282" s="793"/>
      <c r="L282" s="793"/>
      <c r="M282" s="749"/>
      <c r="N282" s="749"/>
    </row>
    <row r="283" spans="3:41" x14ac:dyDescent="0.15">
      <c r="C283" s="325"/>
      <c r="D283" s="746"/>
      <c r="E283" s="420"/>
      <c r="F283" s="421"/>
      <c r="G283" s="793"/>
      <c r="H283" s="793"/>
      <c r="I283" s="793"/>
      <c r="J283" s="793"/>
      <c r="K283" s="793"/>
      <c r="L283" s="793"/>
      <c r="M283" s="749"/>
      <c r="N283" s="749"/>
    </row>
    <row r="284" spans="3:41" ht="15" thickBot="1" x14ac:dyDescent="0.2">
      <c r="C284" s="422"/>
      <c r="D284" s="747"/>
      <c r="E284" s="424"/>
      <c r="F284" s="425"/>
      <c r="G284" s="23"/>
      <c r="H284" s="23"/>
      <c r="I284" s="23"/>
      <c r="J284" s="23"/>
      <c r="K284" s="23"/>
      <c r="L284" s="23"/>
    </row>
    <row r="285" spans="3:41" x14ac:dyDescent="0.15">
      <c r="G285" s="23"/>
      <c r="H285" s="23"/>
      <c r="I285" s="23"/>
      <c r="J285" s="23"/>
      <c r="K285" s="23"/>
      <c r="L285" s="23"/>
      <c r="Y285" s="9"/>
      <c r="Z285" s="9"/>
      <c r="AA285" s="9"/>
      <c r="AB285" s="9"/>
      <c r="AC285" s="9"/>
      <c r="AD285" s="9"/>
      <c r="AE285" s="9"/>
      <c r="AF285" s="9"/>
      <c r="AG285" s="9"/>
      <c r="AH285" s="9"/>
      <c r="AI285" s="9"/>
      <c r="AJ285" s="9"/>
      <c r="AK285" s="9"/>
      <c r="AL285" s="9"/>
      <c r="AM285" s="9"/>
      <c r="AN285" s="9"/>
      <c r="AO285" s="9"/>
    </row>
    <row r="286" spans="3:41" x14ac:dyDescent="0.15">
      <c r="G286" s="23"/>
      <c r="H286" s="23"/>
      <c r="I286" s="23"/>
      <c r="J286" s="23"/>
      <c r="K286" s="23"/>
      <c r="L286" s="23"/>
      <c r="Y286" s="9"/>
      <c r="Z286" s="9"/>
      <c r="AA286" s="9"/>
      <c r="AB286" s="9"/>
      <c r="AC286" s="9"/>
      <c r="AD286" s="9"/>
      <c r="AE286" s="9"/>
      <c r="AF286" s="9"/>
      <c r="AG286" s="9"/>
      <c r="AH286" s="9"/>
      <c r="AI286" s="9"/>
      <c r="AJ286" s="9"/>
      <c r="AK286" s="9"/>
      <c r="AL286" s="9"/>
      <c r="AM286" s="9"/>
      <c r="AN286" s="9"/>
      <c r="AO286" s="9"/>
    </row>
    <row r="287" spans="3:41" x14ac:dyDescent="0.15">
      <c r="Y287" s="9"/>
      <c r="Z287" s="85"/>
      <c r="AA287" s="85"/>
      <c r="AB287" s="85"/>
      <c r="AC287" s="85"/>
      <c r="AD287" s="85"/>
      <c r="AE287" s="85"/>
      <c r="AF287" s="400"/>
      <c r="AG287" s="400"/>
      <c r="AH287" s="98"/>
      <c r="AI287" s="98"/>
      <c r="AJ287" s="58"/>
      <c r="AK287" s="58"/>
      <c r="AL287" s="685"/>
      <c r="AM287" s="398"/>
      <c r="AN287" s="407"/>
      <c r="AO287" s="9"/>
    </row>
    <row r="288" spans="3:41" x14ac:dyDescent="0.15">
      <c r="Y288" s="9"/>
      <c r="Z288" s="85"/>
      <c r="AA288" s="85"/>
      <c r="AB288" s="85"/>
      <c r="AC288" s="85"/>
      <c r="AD288" s="85"/>
      <c r="AE288" s="85"/>
      <c r="AF288" s="400"/>
      <c r="AG288" s="400"/>
      <c r="AH288" s="98"/>
      <c r="AI288" s="98"/>
      <c r="AJ288" s="58"/>
      <c r="AK288" s="58"/>
      <c r="AL288" s="685"/>
      <c r="AM288" s="398"/>
      <c r="AN288" s="407"/>
      <c r="AO288" s="9"/>
    </row>
    <row r="289" spans="5:41" x14ac:dyDescent="0.15">
      <c r="Y289" s="9"/>
      <c r="Z289" s="85"/>
      <c r="AA289" s="85"/>
      <c r="AB289" s="85"/>
      <c r="AC289" s="85"/>
      <c r="AD289" s="85"/>
      <c r="AE289" s="85"/>
      <c r="AF289" s="400"/>
      <c r="AG289" s="58"/>
      <c r="AH289" s="9"/>
      <c r="AI289" s="85"/>
      <c r="AJ289" s="58"/>
      <c r="AK289" s="58"/>
      <c r="AL289" s="685"/>
      <c r="AM289" s="398"/>
      <c r="AN289" s="407"/>
      <c r="AO289" s="9"/>
    </row>
    <row r="290" spans="5:41" x14ac:dyDescent="0.15">
      <c r="Y290" s="9"/>
      <c r="Z290" s="85"/>
      <c r="AA290" s="85"/>
      <c r="AB290" s="85"/>
      <c r="AC290" s="85"/>
      <c r="AD290" s="85"/>
      <c r="AE290" s="85"/>
      <c r="AF290" s="400"/>
      <c r="AG290" s="58"/>
      <c r="AH290" s="9"/>
      <c r="AI290" s="85"/>
      <c r="AJ290" s="58"/>
      <c r="AK290" s="58"/>
      <c r="AL290" s="685"/>
      <c r="AM290" s="398"/>
      <c r="AN290" s="407"/>
      <c r="AO290" s="9"/>
    </row>
    <row r="291" spans="5:41" x14ac:dyDescent="0.15">
      <c r="Y291" s="9"/>
      <c r="Z291" s="85"/>
      <c r="AA291" s="85"/>
      <c r="AB291" s="85"/>
      <c r="AC291" s="85"/>
      <c r="AD291" s="85"/>
      <c r="AE291" s="85"/>
      <c r="AF291" s="400"/>
      <c r="AG291" s="58"/>
      <c r="AH291" s="9"/>
      <c r="AI291" s="85"/>
      <c r="AJ291" s="58"/>
      <c r="AK291" s="58"/>
      <c r="AL291" s="685"/>
      <c r="AM291" s="398"/>
      <c r="AN291" s="407"/>
      <c r="AO291" s="9"/>
    </row>
    <row r="292" spans="5:41" x14ac:dyDescent="0.15">
      <c r="Y292" s="9"/>
      <c r="Z292" s="85"/>
      <c r="AA292" s="85"/>
      <c r="AB292" s="85"/>
      <c r="AC292" s="85"/>
      <c r="AD292" s="85"/>
      <c r="AE292" s="85"/>
      <c r="AF292" s="400"/>
      <c r="AG292" s="58"/>
      <c r="AH292" s="9"/>
      <c r="AI292" s="85"/>
      <c r="AJ292" s="58"/>
      <c r="AK292" s="58"/>
      <c r="AL292" s="685"/>
      <c r="AM292" s="398"/>
      <c r="AN292" s="407"/>
      <c r="AO292" s="9"/>
    </row>
    <row r="293" spans="5:41" x14ac:dyDescent="0.15">
      <c r="Y293" s="9"/>
      <c r="Z293" s="9"/>
      <c r="AA293" s="9"/>
      <c r="AB293" s="9"/>
      <c r="AC293" s="9"/>
      <c r="AD293" s="9"/>
      <c r="AE293" s="9"/>
      <c r="AF293" s="9"/>
      <c r="AG293" s="9"/>
      <c r="AH293" s="9"/>
      <c r="AI293" s="9"/>
      <c r="AJ293" s="9"/>
      <c r="AK293" s="9"/>
      <c r="AL293" s="9"/>
      <c r="AM293" s="9"/>
      <c r="AN293" s="9"/>
      <c r="AO293" s="9"/>
    </row>
    <row r="294" spans="5:41" x14ac:dyDescent="0.15">
      <c r="Y294" s="9"/>
      <c r="Z294" s="9"/>
      <c r="AA294" s="9"/>
      <c r="AB294" s="9"/>
      <c r="AC294" s="9"/>
      <c r="AD294" s="9"/>
      <c r="AE294" s="9"/>
      <c r="AF294" s="9"/>
      <c r="AG294" s="9"/>
      <c r="AH294" s="9"/>
      <c r="AI294" s="9"/>
      <c r="AJ294" s="9"/>
      <c r="AK294" s="9"/>
      <c r="AL294" s="9"/>
      <c r="AM294" s="9"/>
      <c r="AN294" s="9"/>
      <c r="AO294" s="9"/>
    </row>
    <row r="295" spans="5:41" x14ac:dyDescent="0.15">
      <c r="Y295" s="9"/>
      <c r="Z295" s="9"/>
      <c r="AA295" s="9"/>
      <c r="AB295" s="9"/>
      <c r="AC295" s="9"/>
      <c r="AD295" s="9"/>
      <c r="AE295" s="9"/>
      <c r="AF295" s="9"/>
      <c r="AG295" s="9"/>
      <c r="AH295" s="9"/>
      <c r="AI295" s="9"/>
      <c r="AJ295" s="9"/>
      <c r="AK295" s="9"/>
      <c r="AL295" s="9"/>
      <c r="AM295" s="9"/>
      <c r="AN295" s="9"/>
      <c r="AO295" s="9"/>
    </row>
    <row r="296" spans="5:41" x14ac:dyDescent="0.15">
      <c r="Y296" s="9"/>
      <c r="Z296" s="9"/>
      <c r="AA296" s="9"/>
      <c r="AB296" s="9"/>
      <c r="AC296" s="9"/>
      <c r="AD296" s="9"/>
      <c r="AE296" s="9"/>
      <c r="AF296" s="9"/>
      <c r="AG296" s="9"/>
      <c r="AH296" s="9"/>
      <c r="AI296" s="9"/>
      <c r="AJ296" s="9"/>
      <c r="AK296" s="9"/>
      <c r="AL296" s="9"/>
      <c r="AM296" s="9"/>
      <c r="AN296" s="9"/>
      <c r="AO296" s="9"/>
    </row>
    <row r="300" spans="5:41" hidden="1" x14ac:dyDescent="0.15"/>
    <row r="301" spans="5:41" hidden="1" x14ac:dyDescent="0.15">
      <c r="E301" s="3" t="s">
        <v>610</v>
      </c>
    </row>
    <row r="302" spans="5:41" hidden="1" x14ac:dyDescent="0.15">
      <c r="E302" s="3" t="s">
        <v>611</v>
      </c>
    </row>
    <row r="303" spans="5:41" hidden="1" x14ac:dyDescent="0.15">
      <c r="E303" s="3" t="s">
        <v>612</v>
      </c>
    </row>
    <row r="304" spans="5:41" hidden="1" x14ac:dyDescent="0.15">
      <c r="E304" s="3" t="s">
        <v>613</v>
      </c>
    </row>
    <row r="305" spans="5:5" hidden="1" x14ac:dyDescent="0.15">
      <c r="E305" s="3" t="s">
        <v>614</v>
      </c>
    </row>
    <row r="306" spans="5:5" hidden="1" x14ac:dyDescent="0.15">
      <c r="E306" s="3" t="s">
        <v>540</v>
      </c>
    </row>
    <row r="307" spans="5:5" hidden="1" x14ac:dyDescent="0.15">
      <c r="E307" s="3" t="s">
        <v>615</v>
      </c>
    </row>
    <row r="308" spans="5:5" hidden="1" x14ac:dyDescent="0.15">
      <c r="E308" s="3" t="s">
        <v>616</v>
      </c>
    </row>
    <row r="309" spans="5:5" hidden="1" x14ac:dyDescent="0.15">
      <c r="E309" s="3" t="s">
        <v>617</v>
      </c>
    </row>
    <row r="310" spans="5:5" hidden="1" x14ac:dyDescent="0.15">
      <c r="E310" s="3" t="s">
        <v>618</v>
      </c>
    </row>
    <row r="311" spans="5:5" hidden="1" x14ac:dyDescent="0.15">
      <c r="E311" s="3" t="s">
        <v>619</v>
      </c>
    </row>
    <row r="312" spans="5:5" hidden="1" x14ac:dyDescent="0.15">
      <c r="E312" s="3" t="s">
        <v>620</v>
      </c>
    </row>
    <row r="313" spans="5:5" hidden="1" x14ac:dyDescent="0.15">
      <c r="E313" s="2" t="s">
        <v>621</v>
      </c>
    </row>
    <row r="314" spans="5:5" hidden="1" x14ac:dyDescent="0.15"/>
    <row r="335" spans="2:11" ht="15" thickBot="1" x14ac:dyDescent="0.2"/>
    <row r="336" spans="2:11" ht="15" thickBot="1" x14ac:dyDescent="0.2">
      <c r="B336" s="633" t="s">
        <v>1077</v>
      </c>
      <c r="C336" s="634"/>
      <c r="D336" s="634"/>
      <c r="E336" s="635"/>
      <c r="F336" s="194"/>
      <c r="G336" s="194"/>
      <c r="H336" s="194"/>
      <c r="I336" s="194"/>
      <c r="J336" s="194"/>
      <c r="K336" s="194"/>
    </row>
    <row r="337" spans="2:11" ht="15" thickBot="1" x14ac:dyDescent="0.2">
      <c r="B337" s="1172" t="s">
        <v>192</v>
      </c>
      <c r="C337" s="1173"/>
      <c r="D337" s="1173"/>
      <c r="E337" s="1174"/>
      <c r="F337" s="902" t="s">
        <v>161</v>
      </c>
      <c r="G337" s="408" t="s">
        <v>739</v>
      </c>
      <c r="H337" s="1350" t="s">
        <v>771</v>
      </c>
      <c r="I337" s="1418"/>
      <c r="J337" s="1353" t="s">
        <v>1279</v>
      </c>
      <c r="K337" s="1174"/>
    </row>
    <row r="338" spans="2:11" x14ac:dyDescent="0.15">
      <c r="B338" s="1235"/>
      <c r="C338" s="1382"/>
      <c r="D338" s="1382"/>
      <c r="E338" s="1236"/>
      <c r="F338" s="1172" t="s">
        <v>653</v>
      </c>
      <c r="G338" s="1174"/>
      <c r="H338" s="1419" t="s">
        <v>1210</v>
      </c>
      <c r="I338" s="1277"/>
      <c r="J338" s="1420"/>
      <c r="K338" s="1421"/>
    </row>
    <row r="339" spans="2:11" ht="15" thickBot="1" x14ac:dyDescent="0.2">
      <c r="B339" s="1383"/>
      <c r="C339" s="1384"/>
      <c r="D339" s="1384"/>
      <c r="E339" s="1417"/>
      <c r="F339" s="1175"/>
      <c r="G339" s="1177"/>
      <c r="H339" s="1422" t="s">
        <v>1280</v>
      </c>
      <c r="I339" s="1423"/>
      <c r="J339" s="1424"/>
      <c r="K339" s="1425"/>
    </row>
    <row r="340" spans="2:11" ht="14.25" customHeight="1" x14ac:dyDescent="0.15">
      <c r="B340" s="1189" t="s">
        <v>167</v>
      </c>
      <c r="C340" s="1190"/>
      <c r="D340" s="1200" t="s">
        <v>807</v>
      </c>
      <c r="E340" s="1192" t="s">
        <v>190</v>
      </c>
      <c r="F340" s="1192"/>
      <c r="G340" s="1197" t="s">
        <v>968</v>
      </c>
      <c r="H340" s="1393"/>
      <c r="I340" s="1393"/>
      <c r="J340" s="1394"/>
      <c r="K340" s="887" t="s">
        <v>15</v>
      </c>
    </row>
    <row r="341" spans="2:11" ht="15" customHeight="1" thickBot="1" x14ac:dyDescent="0.2">
      <c r="B341" s="1426" t="s">
        <v>1073</v>
      </c>
      <c r="C341" s="889" t="s">
        <v>809</v>
      </c>
      <c r="D341" s="1392"/>
      <c r="E341" s="417" t="s">
        <v>184</v>
      </c>
      <c r="F341" s="418" t="s">
        <v>191</v>
      </c>
      <c r="G341" s="1215" t="s">
        <v>964</v>
      </c>
      <c r="H341" s="1427"/>
      <c r="I341" s="1215" t="s">
        <v>967</v>
      </c>
      <c r="J341" s="1427"/>
      <c r="K341" s="888"/>
    </row>
    <row r="342" spans="2:11" x14ac:dyDescent="0.15">
      <c r="B342" s="1345"/>
      <c r="C342" s="1400" t="s">
        <v>486</v>
      </c>
      <c r="D342" s="331"/>
      <c r="E342" s="1357">
        <v>4</v>
      </c>
      <c r="F342" s="1165">
        <v>0.91700000000000004</v>
      </c>
      <c r="G342" s="892" t="s">
        <v>962</v>
      </c>
      <c r="H342" s="892" t="s">
        <v>963</v>
      </c>
      <c r="I342" s="892" t="s">
        <v>965</v>
      </c>
      <c r="J342" s="892" t="s">
        <v>966</v>
      </c>
      <c r="K342" s="1309" t="s">
        <v>24</v>
      </c>
    </row>
    <row r="343" spans="2:11" x14ac:dyDescent="0.15">
      <c r="B343" s="1345"/>
      <c r="C343" s="1400"/>
      <c r="D343" s="330"/>
      <c r="E343" s="1357"/>
      <c r="F343" s="1166"/>
      <c r="G343" s="894">
        <v>1</v>
      </c>
      <c r="H343" s="894">
        <v>2</v>
      </c>
      <c r="I343" s="894">
        <v>1</v>
      </c>
      <c r="J343" s="894">
        <v>2</v>
      </c>
      <c r="K343" s="1401"/>
    </row>
    <row r="344" spans="2:11" ht="14.25" customHeight="1" x14ac:dyDescent="0.15">
      <c r="B344" s="1345"/>
      <c r="C344" s="1217" t="s">
        <v>980</v>
      </c>
      <c r="D344" s="1403" t="s">
        <v>961</v>
      </c>
      <c r="E344" s="1404"/>
      <c r="F344" s="1407" t="s">
        <v>964</v>
      </c>
      <c r="G344" s="1408"/>
      <c r="H344" s="1239" t="s">
        <v>970</v>
      </c>
      <c r="I344" s="1215" t="s">
        <v>967</v>
      </c>
      <c r="J344" s="1397"/>
      <c r="K344" s="461"/>
    </row>
    <row r="345" spans="2:11" x14ac:dyDescent="0.15">
      <c r="B345" s="1345"/>
      <c r="C345" s="1402"/>
      <c r="D345" s="1405"/>
      <c r="E345" s="1406"/>
      <c r="F345" s="411" t="s">
        <v>971</v>
      </c>
      <c r="G345" s="901" t="s">
        <v>1071</v>
      </c>
      <c r="H345" s="1409"/>
      <c r="I345" s="892" t="s">
        <v>981</v>
      </c>
      <c r="J345" s="904" t="s">
        <v>982</v>
      </c>
      <c r="K345" s="905" t="s">
        <v>1011</v>
      </c>
    </row>
    <row r="346" spans="2:11" x14ac:dyDescent="0.15">
      <c r="B346" s="1345"/>
      <c r="C346" s="1219"/>
      <c r="D346" s="1322"/>
      <c r="E346" s="1211"/>
      <c r="F346" s="896">
        <v>1</v>
      </c>
      <c r="G346" s="896">
        <v>1.2</v>
      </c>
      <c r="H346" s="1410"/>
      <c r="I346" s="896">
        <v>1.9</v>
      </c>
      <c r="J346" s="413">
        <v>1.74</v>
      </c>
      <c r="K346" s="464">
        <v>3.6399999999999997</v>
      </c>
    </row>
    <row r="347" spans="2:11" ht="15" thickBot="1" x14ac:dyDescent="0.2">
      <c r="B347" s="1346"/>
      <c r="C347" s="1411" t="s">
        <v>1002</v>
      </c>
      <c r="D347" s="1412"/>
      <c r="E347" s="1156"/>
      <c r="F347" s="465" t="s">
        <v>1003</v>
      </c>
      <c r="G347" s="1155"/>
      <c r="H347" s="893" t="s">
        <v>1004</v>
      </c>
      <c r="I347" s="460"/>
      <c r="J347" s="466"/>
      <c r="K347" s="900"/>
    </row>
    <row r="348" spans="2:11" x14ac:dyDescent="0.15">
      <c r="E348" s="10"/>
    </row>
    <row r="349" spans="2:11" x14ac:dyDescent="0.15">
      <c r="E349" s="10"/>
      <c r="G349" s="687" t="s">
        <v>1283</v>
      </c>
      <c r="H349" s="687"/>
      <c r="I349" s="687"/>
      <c r="J349" s="687"/>
    </row>
    <row r="350" spans="2:11" x14ac:dyDescent="0.15">
      <c r="E350" s="10"/>
    </row>
    <row r="351" spans="2:11" x14ac:dyDescent="0.15">
      <c r="E351" s="10"/>
    </row>
    <row r="352" spans="2:11" x14ac:dyDescent="0.15">
      <c r="E352" s="10"/>
    </row>
    <row r="353" spans="5:5" x14ac:dyDescent="0.15">
      <c r="E353" s="10"/>
    </row>
    <row r="354" spans="5:5" x14ac:dyDescent="0.15">
      <c r="E354" s="10"/>
    </row>
    <row r="355" spans="5:5" x14ac:dyDescent="0.15">
      <c r="E355" s="10"/>
    </row>
    <row r="356" spans="5:5" x14ac:dyDescent="0.15">
      <c r="E356" s="10"/>
    </row>
    <row r="357" spans="5:5" x14ac:dyDescent="0.15">
      <c r="E357" s="10"/>
    </row>
    <row r="358" spans="5:5" x14ac:dyDescent="0.15">
      <c r="E358" s="10"/>
    </row>
    <row r="359" spans="5:5" x14ac:dyDescent="0.15">
      <c r="E359" s="10"/>
    </row>
    <row r="360" spans="5:5" x14ac:dyDescent="0.15">
      <c r="E360" s="10"/>
    </row>
    <row r="361" spans="5:5" x14ac:dyDescent="0.15">
      <c r="E361" s="10"/>
    </row>
    <row r="362" spans="5:5" x14ac:dyDescent="0.15">
      <c r="E362" s="10"/>
    </row>
    <row r="363" spans="5:5" x14ac:dyDescent="0.15">
      <c r="E363" s="10"/>
    </row>
    <row r="364" spans="5:5" x14ac:dyDescent="0.15">
      <c r="E364" s="10"/>
    </row>
    <row r="600" spans="4:13" hidden="1" x14ac:dyDescent="0.15">
      <c r="D600" s="651" t="s">
        <v>110</v>
      </c>
      <c r="E600" s="651"/>
      <c r="F600" s="708" t="s">
        <v>159</v>
      </c>
      <c r="G600" s="410"/>
      <c r="H600" s="410"/>
      <c r="I600" s="410"/>
      <c r="J600" s="700" t="s">
        <v>23</v>
      </c>
      <c r="K600" s="410"/>
      <c r="L600" s="410"/>
      <c r="M600" s="410"/>
    </row>
    <row r="601" spans="4:13" hidden="1" x14ac:dyDescent="0.15">
      <c r="D601" s="651" t="s">
        <v>112</v>
      </c>
      <c r="E601" s="651"/>
      <c r="F601" s="708" t="s">
        <v>160</v>
      </c>
      <c r="G601" s="410"/>
      <c r="H601" s="410"/>
      <c r="I601" s="410"/>
      <c r="J601" s="700" t="s">
        <v>24</v>
      </c>
      <c r="K601" s="410"/>
      <c r="L601" s="410"/>
      <c r="M601" s="410"/>
    </row>
    <row r="602" spans="4:13" hidden="1" x14ac:dyDescent="0.15">
      <c r="D602" s="651" t="s">
        <v>114</v>
      </c>
      <c r="E602" s="651"/>
      <c r="F602" s="410"/>
      <c r="G602" s="410"/>
      <c r="H602" s="410"/>
      <c r="I602" s="410"/>
      <c r="J602" s="700" t="s">
        <v>25</v>
      </c>
      <c r="K602" s="410"/>
      <c r="L602" s="410"/>
      <c r="M602" s="410"/>
    </row>
    <row r="603" spans="4:13" hidden="1" x14ac:dyDescent="0.15">
      <c r="D603" s="651" t="s">
        <v>116</v>
      </c>
      <c r="E603" s="651"/>
      <c r="F603" s="410"/>
      <c r="G603" s="410"/>
      <c r="H603" s="410"/>
      <c r="I603" s="410"/>
      <c r="J603" s="700" t="s">
        <v>26</v>
      </c>
      <c r="K603" s="410"/>
      <c r="L603" s="410"/>
      <c r="M603" s="410"/>
    </row>
    <row r="604" spans="4:13" hidden="1" x14ac:dyDescent="0.15">
      <c r="D604" s="651" t="s">
        <v>117</v>
      </c>
      <c r="E604" s="651"/>
      <c r="F604" s="410"/>
      <c r="G604" s="410"/>
      <c r="H604" s="410"/>
      <c r="I604" s="410"/>
      <c r="J604" s="700" t="s">
        <v>27</v>
      </c>
      <c r="K604" s="410"/>
      <c r="L604" s="410"/>
      <c r="M604" s="410"/>
    </row>
    <row r="605" spans="4:13" hidden="1" x14ac:dyDescent="0.15">
      <c r="D605" s="651" t="s">
        <v>118</v>
      </c>
      <c r="E605" s="651"/>
      <c r="F605" s="410"/>
      <c r="G605" s="410"/>
      <c r="H605" s="410"/>
      <c r="I605" s="410"/>
      <c r="J605" s="700" t="s">
        <v>28</v>
      </c>
      <c r="K605" s="410"/>
      <c r="L605" s="410"/>
      <c r="M605" s="410"/>
    </row>
    <row r="606" spans="4:13" hidden="1" x14ac:dyDescent="0.15">
      <c r="D606" s="651" t="s">
        <v>119</v>
      </c>
      <c r="E606" s="651"/>
      <c r="F606" s="410"/>
      <c r="G606" s="410"/>
      <c r="H606" s="410"/>
      <c r="I606" s="410"/>
      <c r="J606" s="700" t="s">
        <v>29</v>
      </c>
      <c r="K606" s="410"/>
      <c r="L606" s="410"/>
      <c r="M606" s="410"/>
    </row>
    <row r="607" spans="4:13" hidden="1" x14ac:dyDescent="0.15">
      <c r="D607" s="651" t="s">
        <v>120</v>
      </c>
      <c r="E607" s="651"/>
      <c r="F607" s="410"/>
      <c r="G607" s="410"/>
      <c r="H607" s="410">
        <v>0.8</v>
      </c>
      <c r="I607" s="410"/>
      <c r="J607" s="700" t="s">
        <v>30</v>
      </c>
      <c r="K607" s="410"/>
      <c r="L607" s="410"/>
      <c r="M607" s="410"/>
    </row>
    <row r="608" spans="4:13" hidden="1" x14ac:dyDescent="0.15">
      <c r="D608" s="651" t="s">
        <v>121</v>
      </c>
      <c r="E608" s="651"/>
      <c r="F608" s="410"/>
      <c r="G608" s="410"/>
      <c r="H608" s="410">
        <v>0.9</v>
      </c>
      <c r="I608" s="410"/>
      <c r="J608" s="700" t="s">
        <v>31</v>
      </c>
      <c r="K608" s="410"/>
      <c r="L608" s="410"/>
      <c r="M608" s="410"/>
    </row>
    <row r="609" spans="4:13" hidden="1" x14ac:dyDescent="0.15">
      <c r="D609" s="651" t="s">
        <v>122</v>
      </c>
      <c r="E609" s="651"/>
      <c r="F609" s="410"/>
      <c r="G609" s="410"/>
      <c r="H609" s="410">
        <v>1</v>
      </c>
      <c r="I609" s="410"/>
      <c r="J609" s="700" t="s">
        <v>32</v>
      </c>
      <c r="K609" s="410"/>
      <c r="L609" s="410"/>
      <c r="M609" s="410"/>
    </row>
    <row r="610" spans="4:13" hidden="1" x14ac:dyDescent="0.15">
      <c r="D610" s="651" t="s">
        <v>123</v>
      </c>
      <c r="E610" s="651"/>
      <c r="F610" s="410"/>
      <c r="G610" s="410"/>
      <c r="H610" s="410"/>
      <c r="I610" s="410"/>
      <c r="J610" s="700" t="s">
        <v>33</v>
      </c>
      <c r="K610" s="410"/>
      <c r="L610" s="410"/>
      <c r="M610" s="410"/>
    </row>
    <row r="611" spans="4:13" hidden="1" x14ac:dyDescent="0.15">
      <c r="D611" s="651" t="s">
        <v>124</v>
      </c>
      <c r="E611" s="651"/>
      <c r="F611" s="410"/>
      <c r="G611" s="410"/>
      <c r="H611" s="410"/>
      <c r="I611" s="410"/>
      <c r="J611" s="700" t="s">
        <v>34</v>
      </c>
      <c r="K611" s="410"/>
      <c r="L611" s="410"/>
      <c r="M611" s="410"/>
    </row>
    <row r="612" spans="4:13" hidden="1" x14ac:dyDescent="0.15">
      <c r="D612" s="651" t="s">
        <v>125</v>
      </c>
      <c r="E612" s="651"/>
      <c r="F612" s="410"/>
      <c r="G612" s="410"/>
      <c r="H612" s="410"/>
      <c r="I612" s="410"/>
      <c r="J612" s="700" t="s">
        <v>35</v>
      </c>
      <c r="K612" s="410"/>
      <c r="L612" s="410"/>
      <c r="M612" s="410"/>
    </row>
    <row r="613" spans="4:13" hidden="1" x14ac:dyDescent="0.15">
      <c r="D613" s="651" t="s">
        <v>126</v>
      </c>
      <c r="E613" s="651"/>
      <c r="F613" s="410"/>
      <c r="G613" s="410"/>
      <c r="H613" s="410"/>
      <c r="I613" s="410"/>
      <c r="J613" s="700" t="s">
        <v>36</v>
      </c>
      <c r="K613" s="410"/>
      <c r="L613" s="410"/>
      <c r="M613" s="410"/>
    </row>
    <row r="614" spans="4:13" hidden="1" x14ac:dyDescent="0.15">
      <c r="D614" s="651" t="s">
        <v>127</v>
      </c>
      <c r="E614" s="651"/>
      <c r="F614" s="410"/>
      <c r="G614" s="410"/>
      <c r="H614" s="410"/>
      <c r="I614" s="410"/>
      <c r="J614" s="700" t="s">
        <v>37</v>
      </c>
      <c r="K614" s="410"/>
      <c r="L614" s="410"/>
      <c r="M614" s="410"/>
    </row>
    <row r="615" spans="4:13" hidden="1" x14ac:dyDescent="0.15">
      <c r="D615" s="651" t="s">
        <v>128</v>
      </c>
      <c r="E615" s="651"/>
      <c r="F615" s="410"/>
      <c r="G615" s="410"/>
      <c r="H615" s="410"/>
      <c r="I615" s="410"/>
      <c r="J615" s="700" t="s">
        <v>38</v>
      </c>
      <c r="K615" s="410"/>
      <c r="L615" s="410"/>
      <c r="M615" s="410"/>
    </row>
    <row r="616" spans="4:13" hidden="1" x14ac:dyDescent="0.15">
      <c r="D616" s="651" t="s">
        <v>129</v>
      </c>
      <c r="E616" s="651"/>
      <c r="F616" s="410"/>
      <c r="G616" s="410"/>
      <c r="H616" s="410"/>
      <c r="I616" s="410"/>
      <c r="J616" s="700" t="s">
        <v>277</v>
      </c>
      <c r="K616" s="410"/>
      <c r="L616" s="410"/>
      <c r="M616" s="410"/>
    </row>
    <row r="617" spans="4:13" hidden="1" x14ac:dyDescent="0.15">
      <c r="D617" s="651" t="s">
        <v>130</v>
      </c>
      <c r="E617" s="651"/>
      <c r="F617" s="410"/>
      <c r="G617" s="410"/>
      <c r="H617" s="410"/>
      <c r="I617" s="410"/>
      <c r="J617" s="410"/>
      <c r="K617" s="410"/>
      <c r="L617" s="410"/>
      <c r="M617" s="410"/>
    </row>
    <row r="618" spans="4:13" hidden="1" x14ac:dyDescent="0.15">
      <c r="D618" s="651" t="s">
        <v>132</v>
      </c>
      <c r="E618" s="651"/>
      <c r="F618" s="410"/>
      <c r="G618" s="410"/>
      <c r="H618" s="410"/>
      <c r="I618" s="410"/>
      <c r="J618" s="410"/>
      <c r="K618" s="410"/>
      <c r="L618" s="410"/>
      <c r="M618" s="410"/>
    </row>
    <row r="619" spans="4:13" hidden="1" x14ac:dyDescent="0.15">
      <c r="D619" s="651" t="s">
        <v>133</v>
      </c>
      <c r="E619" s="651"/>
      <c r="F619" s="410"/>
      <c r="G619" s="410"/>
      <c r="H619" s="410"/>
      <c r="I619" s="410"/>
      <c r="J619" s="410" t="s">
        <v>610</v>
      </c>
      <c r="K619" s="410"/>
      <c r="L619" s="410"/>
      <c r="M619" s="410"/>
    </row>
    <row r="620" spans="4:13" hidden="1" x14ac:dyDescent="0.15">
      <c r="D620" s="651" t="s">
        <v>134</v>
      </c>
      <c r="E620" s="651"/>
      <c r="F620" s="410"/>
      <c r="G620" s="410"/>
      <c r="H620" s="410"/>
      <c r="I620" s="410"/>
      <c r="J620" s="410" t="s">
        <v>611</v>
      </c>
      <c r="K620" s="410"/>
      <c r="L620" s="410"/>
      <c r="M620" s="410"/>
    </row>
    <row r="621" spans="4:13" hidden="1" x14ac:dyDescent="0.15">
      <c r="D621" s="651" t="s">
        <v>135</v>
      </c>
      <c r="E621" s="651"/>
      <c r="F621" s="410"/>
      <c r="G621" s="410"/>
      <c r="H621" s="410"/>
      <c r="I621" s="410"/>
      <c r="J621" s="410" t="s">
        <v>612</v>
      </c>
      <c r="K621" s="410"/>
      <c r="L621" s="410"/>
      <c r="M621" s="410"/>
    </row>
    <row r="622" spans="4:13" hidden="1" x14ac:dyDescent="0.15">
      <c r="D622" s="651" t="s">
        <v>136</v>
      </c>
      <c r="E622" s="651"/>
      <c r="F622" s="410"/>
      <c r="G622" s="410"/>
      <c r="H622" s="410"/>
      <c r="I622" s="410"/>
      <c r="J622" s="410" t="s">
        <v>613</v>
      </c>
      <c r="K622" s="410"/>
      <c r="L622" s="410"/>
      <c r="M622" s="410"/>
    </row>
    <row r="623" spans="4:13" hidden="1" x14ac:dyDescent="0.15">
      <c r="D623" s="651" t="s">
        <v>137</v>
      </c>
      <c r="E623" s="651"/>
      <c r="F623" s="410"/>
      <c r="G623" s="410"/>
      <c r="H623" s="410"/>
      <c r="I623" s="410"/>
      <c r="J623" s="410" t="s">
        <v>614</v>
      </c>
      <c r="K623" s="410"/>
      <c r="L623" s="410"/>
      <c r="M623" s="410"/>
    </row>
    <row r="624" spans="4:13" hidden="1" x14ac:dyDescent="0.15">
      <c r="D624" s="651" t="s">
        <v>138</v>
      </c>
      <c r="E624" s="651"/>
      <c r="F624" s="410"/>
      <c r="G624" s="410"/>
      <c r="H624" s="410"/>
      <c r="I624" s="410"/>
      <c r="J624" s="410" t="s">
        <v>540</v>
      </c>
      <c r="K624" s="410"/>
      <c r="L624" s="410"/>
      <c r="M624" s="410"/>
    </row>
    <row r="625" spans="4:13" hidden="1" x14ac:dyDescent="0.15">
      <c r="D625" s="651" t="s">
        <v>139</v>
      </c>
      <c r="E625" s="651"/>
      <c r="F625" s="410"/>
      <c r="G625" s="410"/>
      <c r="H625" s="410"/>
      <c r="I625" s="410"/>
      <c r="J625" s="410" t="s">
        <v>615</v>
      </c>
      <c r="K625" s="410"/>
      <c r="L625" s="410"/>
      <c r="M625" s="410"/>
    </row>
    <row r="626" spans="4:13" hidden="1" x14ac:dyDescent="0.15">
      <c r="D626" s="651" t="s">
        <v>140</v>
      </c>
      <c r="E626" s="651"/>
      <c r="F626" s="410"/>
      <c r="G626" s="410"/>
      <c r="H626" s="410"/>
      <c r="I626" s="410"/>
      <c r="J626" s="410" t="s">
        <v>616</v>
      </c>
      <c r="K626" s="410"/>
      <c r="L626" s="410"/>
      <c r="M626" s="410"/>
    </row>
    <row r="627" spans="4:13" hidden="1" x14ac:dyDescent="0.15">
      <c r="D627" s="651" t="s">
        <v>141</v>
      </c>
      <c r="E627" s="651"/>
      <c r="F627" s="410"/>
      <c r="G627" s="410"/>
      <c r="H627" s="410"/>
      <c r="I627" s="410"/>
      <c r="J627" s="410" t="s">
        <v>617</v>
      </c>
      <c r="K627" s="410"/>
      <c r="L627" s="410"/>
      <c r="M627" s="410"/>
    </row>
    <row r="628" spans="4:13" hidden="1" x14ac:dyDescent="0.15">
      <c r="D628" s="651" t="s">
        <v>142</v>
      </c>
      <c r="E628" s="651"/>
      <c r="F628" s="410"/>
      <c r="G628" s="410"/>
      <c r="H628" s="410"/>
      <c r="I628" s="410"/>
      <c r="J628" s="410" t="s">
        <v>618</v>
      </c>
      <c r="K628" s="410"/>
      <c r="L628" s="410"/>
      <c r="M628" s="410"/>
    </row>
    <row r="629" spans="4:13" hidden="1" x14ac:dyDescent="0.15">
      <c r="D629" s="651" t="s">
        <v>143</v>
      </c>
      <c r="E629" s="651"/>
      <c r="F629" s="410"/>
      <c r="G629" s="410"/>
      <c r="H629" s="410"/>
      <c r="I629" s="410"/>
      <c r="J629" s="410" t="s">
        <v>619</v>
      </c>
      <c r="K629" s="410"/>
      <c r="L629" s="410"/>
      <c r="M629" s="410"/>
    </row>
    <row r="630" spans="4:13" hidden="1" x14ac:dyDescent="0.15">
      <c r="D630" s="651" t="s">
        <v>144</v>
      </c>
      <c r="E630" s="651"/>
      <c r="F630" s="410"/>
      <c r="G630" s="410"/>
      <c r="H630" s="410"/>
      <c r="I630" s="410"/>
      <c r="J630" s="410" t="s">
        <v>620</v>
      </c>
      <c r="K630" s="410"/>
      <c r="L630" s="410"/>
      <c r="M630" s="410"/>
    </row>
    <row r="631" spans="4:13" hidden="1" x14ac:dyDescent="0.15">
      <c r="D631" s="651" t="s">
        <v>145</v>
      </c>
      <c r="E631" s="651"/>
      <c r="F631" s="410"/>
      <c r="G631" s="410"/>
      <c r="H631" s="410"/>
      <c r="I631" s="410"/>
      <c r="J631" s="699" t="s">
        <v>621</v>
      </c>
      <c r="K631" s="410"/>
      <c r="L631" s="410"/>
      <c r="M631" s="410"/>
    </row>
    <row r="632" spans="4:13" hidden="1" x14ac:dyDescent="0.15">
      <c r="D632" s="651" t="s">
        <v>146</v>
      </c>
      <c r="E632" s="651"/>
      <c r="F632" s="410"/>
      <c r="G632" s="410"/>
      <c r="H632" s="410"/>
      <c r="I632" s="410"/>
      <c r="J632" s="410"/>
      <c r="K632" s="410"/>
      <c r="L632" s="410"/>
      <c r="M632" s="410"/>
    </row>
    <row r="633" spans="4:13" hidden="1" x14ac:dyDescent="0.15">
      <c r="D633" s="651" t="s">
        <v>147</v>
      </c>
      <c r="E633" s="651"/>
      <c r="F633" s="410"/>
      <c r="G633" s="410"/>
      <c r="H633" s="410"/>
      <c r="I633" s="410"/>
      <c r="J633" s="63">
        <v>90</v>
      </c>
      <c r="K633" s="410">
        <v>21</v>
      </c>
      <c r="L633" s="410"/>
      <c r="M633" s="3" t="s">
        <v>727</v>
      </c>
    </row>
    <row r="634" spans="4:13" hidden="1" x14ac:dyDescent="0.15">
      <c r="D634" s="651" t="s">
        <v>148</v>
      </c>
      <c r="E634" s="651"/>
      <c r="F634" s="410"/>
      <c r="G634" s="410"/>
      <c r="H634" s="410"/>
      <c r="I634" s="410"/>
      <c r="J634" s="63">
        <v>105</v>
      </c>
      <c r="K634" s="410">
        <v>24</v>
      </c>
      <c r="L634" s="410"/>
      <c r="M634" s="3" t="s">
        <v>728</v>
      </c>
    </row>
    <row r="635" spans="4:13" hidden="1" x14ac:dyDescent="0.15">
      <c r="D635" s="651" t="s">
        <v>149</v>
      </c>
      <c r="E635" s="704"/>
      <c r="F635" s="410"/>
      <c r="G635" s="410"/>
      <c r="H635" s="410"/>
      <c r="I635" s="410"/>
      <c r="J635" s="63">
        <v>120</v>
      </c>
      <c r="K635" s="410">
        <v>30</v>
      </c>
      <c r="L635" s="410"/>
      <c r="M635" s="3" t="s">
        <v>729</v>
      </c>
    </row>
    <row r="636" spans="4:13" hidden="1" x14ac:dyDescent="0.15">
      <c r="D636" s="651" t="s">
        <v>150</v>
      </c>
      <c r="E636" s="704"/>
      <c r="F636" s="410"/>
      <c r="G636" s="410"/>
      <c r="H636" s="410"/>
      <c r="I636" s="410"/>
      <c r="J636" s="63">
        <v>135</v>
      </c>
      <c r="K636" s="410">
        <v>40</v>
      </c>
      <c r="L636" s="410"/>
      <c r="M636" s="3" t="s">
        <v>730</v>
      </c>
    </row>
    <row r="637" spans="4:13" hidden="1" x14ac:dyDescent="0.15">
      <c r="D637" s="651" t="s">
        <v>151</v>
      </c>
      <c r="E637" s="704"/>
      <c r="F637" s="410"/>
      <c r="G637" s="410"/>
      <c r="H637" s="410"/>
      <c r="I637" s="410"/>
      <c r="J637" s="63">
        <v>150</v>
      </c>
      <c r="K637" s="410">
        <v>45</v>
      </c>
      <c r="L637" s="410"/>
      <c r="M637" s="3" t="s">
        <v>731</v>
      </c>
    </row>
    <row r="638" spans="4:13" hidden="1" x14ac:dyDescent="0.15">
      <c r="D638" s="651" t="s">
        <v>152</v>
      </c>
      <c r="E638" s="704"/>
      <c r="F638" s="410"/>
      <c r="G638" s="410"/>
      <c r="H638" s="410"/>
      <c r="I638" s="410"/>
      <c r="J638" s="63">
        <v>180</v>
      </c>
      <c r="K638" s="410">
        <v>60</v>
      </c>
      <c r="L638" s="410"/>
      <c r="M638" s="23" t="s">
        <v>732</v>
      </c>
    </row>
    <row r="639" spans="4:13" hidden="1" x14ac:dyDescent="0.15">
      <c r="D639" s="651" t="s">
        <v>153</v>
      </c>
      <c r="E639" s="704"/>
      <c r="F639" s="410"/>
      <c r="G639" s="410"/>
      <c r="H639" s="410"/>
      <c r="I639" s="410"/>
      <c r="J639" s="63">
        <v>210</v>
      </c>
      <c r="K639" s="410">
        <v>75</v>
      </c>
      <c r="L639" s="410"/>
      <c r="M639" s="410"/>
    </row>
    <row r="640" spans="4:13" hidden="1" x14ac:dyDescent="0.15">
      <c r="D640" s="651" t="s">
        <v>154</v>
      </c>
      <c r="E640" s="704"/>
      <c r="F640" s="410"/>
      <c r="G640" s="410"/>
      <c r="H640" s="410"/>
      <c r="I640" s="410"/>
      <c r="J640" s="63">
        <v>240</v>
      </c>
      <c r="K640" s="410">
        <v>90</v>
      </c>
      <c r="L640" s="410"/>
      <c r="M640" s="410" t="s">
        <v>1200</v>
      </c>
    </row>
    <row r="641" spans="4:13" hidden="1" x14ac:dyDescent="0.15">
      <c r="D641" s="651" t="s">
        <v>155</v>
      </c>
      <c r="E641" s="704"/>
      <c r="F641" s="410"/>
      <c r="G641" s="410"/>
      <c r="H641" s="410"/>
      <c r="I641" s="410"/>
      <c r="J641" s="63">
        <v>270</v>
      </c>
      <c r="K641" s="410">
        <v>105</v>
      </c>
      <c r="L641" s="410"/>
      <c r="M641" s="410" t="s">
        <v>1201</v>
      </c>
    </row>
    <row r="642" spans="4:13" hidden="1" x14ac:dyDescent="0.15">
      <c r="D642" s="651" t="s">
        <v>64</v>
      </c>
      <c r="E642" s="704"/>
      <c r="F642" s="410"/>
      <c r="G642" s="410"/>
      <c r="H642" s="410"/>
      <c r="I642" s="410"/>
      <c r="J642" s="63">
        <v>300</v>
      </c>
      <c r="K642" s="410">
        <v>120</v>
      </c>
      <c r="L642" s="410"/>
      <c r="M642" s="410"/>
    </row>
    <row r="643" spans="4:13" hidden="1" x14ac:dyDescent="0.15">
      <c r="D643" s="651" t="s">
        <v>156</v>
      </c>
      <c r="E643" s="704"/>
      <c r="F643" s="410"/>
      <c r="G643" s="410"/>
      <c r="H643" s="410"/>
      <c r="I643" s="410"/>
      <c r="J643" s="63">
        <v>330</v>
      </c>
      <c r="K643" s="410">
        <v>135</v>
      </c>
      <c r="L643" s="410"/>
      <c r="M643" s="410"/>
    </row>
    <row r="644" spans="4:13" hidden="1" x14ac:dyDescent="0.15">
      <c r="D644" s="651" t="s">
        <v>157</v>
      </c>
      <c r="E644" s="704"/>
      <c r="F644" s="410"/>
      <c r="G644" s="410"/>
      <c r="H644" s="410"/>
      <c r="I644" s="410"/>
      <c r="J644" s="63">
        <v>360</v>
      </c>
      <c r="K644" s="410">
        <v>150</v>
      </c>
      <c r="L644" s="410"/>
      <c r="M644" s="410" t="s">
        <v>1202</v>
      </c>
    </row>
    <row r="645" spans="4:13" hidden="1" x14ac:dyDescent="0.15">
      <c r="D645" s="410"/>
      <c r="E645" s="410"/>
      <c r="F645" s="410"/>
      <c r="G645" s="410"/>
      <c r="H645" s="410"/>
      <c r="I645" s="410"/>
      <c r="J645" s="63">
        <v>390</v>
      </c>
      <c r="K645" s="410">
        <v>180</v>
      </c>
      <c r="L645" s="410"/>
      <c r="M645" s="410" t="s">
        <v>1203</v>
      </c>
    </row>
    <row r="646" spans="4:13" hidden="1" x14ac:dyDescent="0.15">
      <c r="D646" s="3" t="s">
        <v>1174</v>
      </c>
      <c r="E646" s="410"/>
      <c r="F646" s="410"/>
      <c r="G646" s="410"/>
      <c r="H646" s="410"/>
      <c r="I646" s="410"/>
      <c r="J646" s="63">
        <v>420</v>
      </c>
      <c r="K646" s="410">
        <v>210</v>
      </c>
      <c r="L646" s="410"/>
      <c r="M646" s="410"/>
    </row>
    <row r="647" spans="4:13" hidden="1" x14ac:dyDescent="0.15">
      <c r="D647" s="3" t="s">
        <v>1175</v>
      </c>
      <c r="E647" s="410"/>
      <c r="F647" s="410"/>
      <c r="G647" s="410"/>
      <c r="H647" s="410"/>
      <c r="I647" s="410"/>
      <c r="J647" s="63">
        <v>450</v>
      </c>
      <c r="K647" s="410">
        <v>240</v>
      </c>
      <c r="L647" s="410"/>
      <c r="M647" s="410"/>
    </row>
    <row r="648" spans="4:13" hidden="1" x14ac:dyDescent="0.15">
      <c r="D648" s="3" t="s">
        <v>1176</v>
      </c>
      <c r="E648" s="410"/>
      <c r="F648" s="410"/>
      <c r="G648" s="410"/>
      <c r="H648" s="410"/>
      <c r="I648" s="410"/>
      <c r="J648" s="63">
        <f t="shared" ref="J648:J653" si="0">+J647+30</f>
        <v>480</v>
      </c>
      <c r="K648" s="410"/>
      <c r="L648" s="410"/>
      <c r="M648" s="410"/>
    </row>
    <row r="649" spans="4:13" hidden="1" x14ac:dyDescent="0.15">
      <c r="D649" s="410"/>
      <c r="E649" s="410"/>
      <c r="F649" s="410"/>
      <c r="G649" s="410"/>
      <c r="H649" s="410"/>
      <c r="I649" s="410"/>
      <c r="J649" s="63">
        <f t="shared" si="0"/>
        <v>510</v>
      </c>
      <c r="K649" s="410"/>
      <c r="L649" s="410"/>
      <c r="M649" s="410"/>
    </row>
    <row r="650" spans="4:13" hidden="1" x14ac:dyDescent="0.15">
      <c r="D650" s="410"/>
      <c r="E650" s="410"/>
      <c r="F650" s="410"/>
      <c r="G650" s="410"/>
      <c r="H650" s="410"/>
      <c r="I650" s="410"/>
      <c r="J650" s="63">
        <f t="shared" si="0"/>
        <v>540</v>
      </c>
      <c r="K650" s="410"/>
      <c r="L650" s="410"/>
      <c r="M650" s="410"/>
    </row>
    <row r="651" spans="4:13" hidden="1" x14ac:dyDescent="0.15">
      <c r="D651" s="410"/>
      <c r="E651" s="410"/>
      <c r="F651" s="410"/>
      <c r="G651" s="410"/>
      <c r="H651" s="410"/>
      <c r="I651" s="410"/>
      <c r="J651" s="63">
        <f t="shared" si="0"/>
        <v>570</v>
      </c>
      <c r="K651" s="410"/>
      <c r="L651" s="410"/>
      <c r="M651" s="410"/>
    </row>
    <row r="652" spans="4:13" hidden="1" x14ac:dyDescent="0.15">
      <c r="D652" s="410"/>
      <c r="E652" s="410"/>
      <c r="F652" s="410"/>
      <c r="G652" s="410"/>
      <c r="H652" s="410"/>
      <c r="I652" s="410"/>
      <c r="J652" s="63">
        <f t="shared" si="0"/>
        <v>600</v>
      </c>
      <c r="K652" s="410"/>
      <c r="L652" s="410"/>
      <c r="M652" s="410"/>
    </row>
    <row r="653" spans="4:13" hidden="1" x14ac:dyDescent="0.15">
      <c r="D653" s="410"/>
      <c r="E653" s="410"/>
      <c r="F653" s="410"/>
      <c r="G653" s="410"/>
      <c r="H653" s="410"/>
      <c r="I653" s="410"/>
      <c r="J653" s="63">
        <f t="shared" si="0"/>
        <v>630</v>
      </c>
      <c r="K653" s="410"/>
      <c r="L653" s="410"/>
      <c r="M653" s="410"/>
    </row>
  </sheetData>
  <mergeCells count="204">
    <mergeCell ref="C347:D347"/>
    <mergeCell ref="B337:E339"/>
    <mergeCell ref="H337:I337"/>
    <mergeCell ref="J337:K337"/>
    <mergeCell ref="F338:G339"/>
    <mergeCell ref="H338:I338"/>
    <mergeCell ref="J338:K338"/>
    <mergeCell ref="H339:I339"/>
    <mergeCell ref="J339:K339"/>
    <mergeCell ref="B340:C340"/>
    <mergeCell ref="D340:D341"/>
    <mergeCell ref="E340:F340"/>
    <mergeCell ref="G340:J340"/>
    <mergeCell ref="B341:B347"/>
    <mergeCell ref="G341:H341"/>
    <mergeCell ref="I341:J341"/>
    <mergeCell ref="C342:C343"/>
    <mergeCell ref="E342:E343"/>
    <mergeCell ref="F342:F343"/>
    <mergeCell ref="K342:K343"/>
    <mergeCell ref="C344:C346"/>
    <mergeCell ref="D344:E346"/>
    <mergeCell ref="F344:G344"/>
    <mergeCell ref="H344:H346"/>
    <mergeCell ref="I344:J344"/>
    <mergeCell ref="B241:B246"/>
    <mergeCell ref="C241:C242"/>
    <mergeCell ref="E241:E242"/>
    <mergeCell ref="F241:F242"/>
    <mergeCell ref="K241:K242"/>
    <mergeCell ref="L241:L242"/>
    <mergeCell ref="M241:M242"/>
    <mergeCell ref="C243:C245"/>
    <mergeCell ref="D243:E245"/>
    <mergeCell ref="F243:G243"/>
    <mergeCell ref="H243:H245"/>
    <mergeCell ref="I243:J243"/>
    <mergeCell ref="C246:D246"/>
    <mergeCell ref="L246:M246"/>
    <mergeCell ref="D277:D278"/>
    <mergeCell ref="C264:E265"/>
    <mergeCell ref="F264:H265"/>
    <mergeCell ref="E268:E269"/>
    <mergeCell ref="F268:F269"/>
    <mergeCell ref="G268:G269"/>
    <mergeCell ref="H268:H269"/>
    <mergeCell ref="M268:M269"/>
    <mergeCell ref="M266:M267"/>
    <mergeCell ref="N237:N238"/>
    <mergeCell ref="H238:I238"/>
    <mergeCell ref="J238:K238"/>
    <mergeCell ref="B239:C239"/>
    <mergeCell ref="D239:D240"/>
    <mergeCell ref="E239:F239"/>
    <mergeCell ref="G239:J239"/>
    <mergeCell ref="K239:K240"/>
    <mergeCell ref="G240:H240"/>
    <mergeCell ref="I240:J240"/>
    <mergeCell ref="L239:M239"/>
    <mergeCell ref="B221:B225"/>
    <mergeCell ref="B227:C228"/>
    <mergeCell ref="D227:D229"/>
    <mergeCell ref="E227:F228"/>
    <mergeCell ref="G227:G229"/>
    <mergeCell ref="H227:H229"/>
    <mergeCell ref="C230:C231"/>
    <mergeCell ref="B230:B231"/>
    <mergeCell ref="B236:E238"/>
    <mergeCell ref="H236:I236"/>
    <mergeCell ref="H237:I237"/>
    <mergeCell ref="J236:K236"/>
    <mergeCell ref="F237:G238"/>
    <mergeCell ref="C221:C222"/>
    <mergeCell ref="E221:E222"/>
    <mergeCell ref="F221:F222"/>
    <mergeCell ref="G221:G222"/>
    <mergeCell ref="H221:H222"/>
    <mergeCell ref="I221:I222"/>
    <mergeCell ref="J221:J222"/>
    <mergeCell ref="K222:L222"/>
    <mergeCell ref="J237:K237"/>
    <mergeCell ref="L237:M237"/>
    <mergeCell ref="J58:M59"/>
    <mergeCell ref="D14:L16"/>
    <mergeCell ref="C80:C81"/>
    <mergeCell ref="E80:E81"/>
    <mergeCell ref="F80:F81"/>
    <mergeCell ref="D124:D125"/>
    <mergeCell ref="E124:E125"/>
    <mergeCell ref="E148:K148"/>
    <mergeCell ref="B121:C121"/>
    <mergeCell ref="B78:B81"/>
    <mergeCell ref="C78:C79"/>
    <mergeCell ref="E78:E79"/>
    <mergeCell ref="F78:F79"/>
    <mergeCell ref="G78:G79"/>
    <mergeCell ref="H78:H79"/>
    <mergeCell ref="I78:I79"/>
    <mergeCell ref="H133:H134"/>
    <mergeCell ref="I133:I134"/>
    <mergeCell ref="E136:G136"/>
    <mergeCell ref="G139:G140"/>
    <mergeCell ref="H136:K136"/>
    <mergeCell ref="J80:J81"/>
    <mergeCell ref="B120:C120"/>
    <mergeCell ref="C122:C123"/>
    <mergeCell ref="B76:C76"/>
    <mergeCell ref="D76:D77"/>
    <mergeCell ref="E76:F76"/>
    <mergeCell ref="H76:H77"/>
    <mergeCell ref="B73:D73"/>
    <mergeCell ref="B74:E75"/>
    <mergeCell ref="F75:G75"/>
    <mergeCell ref="H75:I75"/>
    <mergeCell ref="G76:G77"/>
    <mergeCell ref="C151:C152"/>
    <mergeCell ref="C149:C150"/>
    <mergeCell ref="J124:J125"/>
    <mergeCell ref="K124:K125"/>
    <mergeCell ref="D126:D127"/>
    <mergeCell ref="E126:E127"/>
    <mergeCell ref="F126:F127"/>
    <mergeCell ref="G126:G127"/>
    <mergeCell ref="H126:H127"/>
    <mergeCell ref="I126:I127"/>
    <mergeCell ref="J126:J127"/>
    <mergeCell ref="K126:K127"/>
    <mergeCell ref="F124:F125"/>
    <mergeCell ref="G124:G125"/>
    <mergeCell ref="H124:H125"/>
    <mergeCell ref="I124:I125"/>
    <mergeCell ref="I149:I150"/>
    <mergeCell ref="J149:J150"/>
    <mergeCell ref="G133:G134"/>
    <mergeCell ref="C147:C148"/>
    <mergeCell ref="C124:C125"/>
    <mergeCell ref="C126:C127"/>
    <mergeCell ref="G129:I129"/>
    <mergeCell ref="G131:G132"/>
    <mergeCell ref="I153:I154"/>
    <mergeCell ref="J153:J154"/>
    <mergeCell ref="K153:K154"/>
    <mergeCell ref="I151:I152"/>
    <mergeCell ref="K149:K150"/>
    <mergeCell ref="J75:K75"/>
    <mergeCell ref="I76:I77"/>
    <mergeCell ref="J76:J77"/>
    <mergeCell ref="K76:M76"/>
    <mergeCell ref="E122:K122"/>
    <mergeCell ref="J78:J79"/>
    <mergeCell ref="K79:L79"/>
    <mergeCell ref="H131:H132"/>
    <mergeCell ref="I131:I132"/>
    <mergeCell ref="G141:G142"/>
    <mergeCell ref="J137:K137"/>
    <mergeCell ref="J138:K138"/>
    <mergeCell ref="J139:K140"/>
    <mergeCell ref="J141:K142"/>
    <mergeCell ref="J151:J152"/>
    <mergeCell ref="K151:K152"/>
    <mergeCell ref="D120:E120"/>
    <mergeCell ref="E149:F149"/>
    <mergeCell ref="G149:H149"/>
    <mergeCell ref="K211:K212"/>
    <mergeCell ref="G260:H260"/>
    <mergeCell ref="C253:D253"/>
    <mergeCell ref="E253:E254"/>
    <mergeCell ref="F253:G254"/>
    <mergeCell ref="H253:L254"/>
    <mergeCell ref="M253:M256"/>
    <mergeCell ref="C255:E255"/>
    <mergeCell ref="G255:G256"/>
    <mergeCell ref="I255:K255"/>
    <mergeCell ref="L255:L256"/>
    <mergeCell ref="C257:C258"/>
    <mergeCell ref="D257:D258"/>
    <mergeCell ref="E257:E258"/>
    <mergeCell ref="F257:F258"/>
    <mergeCell ref="G257:G258"/>
    <mergeCell ref="B219:C219"/>
    <mergeCell ref="D219:D220"/>
    <mergeCell ref="E219:F219"/>
    <mergeCell ref="G219:G220"/>
    <mergeCell ref="H219:H220"/>
    <mergeCell ref="I219:I220"/>
    <mergeCell ref="J219:J220"/>
    <mergeCell ref="K219:M219"/>
    <mergeCell ref="M257:M258"/>
    <mergeCell ref="I264:M265"/>
    <mergeCell ref="C279:C280"/>
    <mergeCell ref="D279:D280"/>
    <mergeCell ref="C268:C269"/>
    <mergeCell ref="D268:D269"/>
    <mergeCell ref="E275:F278"/>
    <mergeCell ref="I266:J266"/>
    <mergeCell ref="K266:L266"/>
    <mergeCell ref="C277:C278"/>
    <mergeCell ref="H257:H258"/>
    <mergeCell ref="I257:I258"/>
    <mergeCell ref="J257:J258"/>
    <mergeCell ref="K257:K258"/>
    <mergeCell ref="L257:L258"/>
    <mergeCell ref="G261:H261"/>
    <mergeCell ref="C262:D262"/>
  </mergeCells>
  <phoneticPr fontId="3"/>
  <dataValidations count="18">
    <dataValidation type="list" allowBlank="1" showInputMessage="1" showErrorMessage="1" sqref="J78:J81" xr:uid="{00000000-0002-0000-0400-000000000000}">
      <formula1>$J$599:$J$616</formula1>
    </dataValidation>
    <dataValidation type="list" allowBlank="1" showInputMessage="1" showErrorMessage="1" sqref="K78 K80" xr:uid="{00000000-0002-0000-0400-000001000000}">
      <formula1>$J$632:$J$653</formula1>
    </dataValidation>
    <dataValidation type="list" allowBlank="1" showInputMessage="1" showErrorMessage="1" sqref="L75" xr:uid="{00000000-0002-0000-0400-000002000000}">
      <formula1>$D$763:$D$764</formula1>
    </dataValidation>
    <dataValidation type="list" allowBlank="1" showInputMessage="1" showErrorMessage="1" sqref="H75:I75" xr:uid="{00000000-0002-0000-0400-000003000000}">
      <formula1>$J$618:$J$631</formula1>
    </dataValidation>
    <dataValidation type="list" allowBlank="1" showInputMessage="1" showErrorMessage="1" sqref="D126:D127" xr:uid="{00000000-0002-0000-0400-000004000000}">
      <formula1>$L$329:$L$332</formula1>
    </dataValidation>
    <dataValidation type="list" allowBlank="1" showInputMessage="1" showErrorMessage="1" sqref="D124:D125" xr:uid="{00000000-0002-0000-0400-000005000000}">
      <formula1>$D$645:$D$648</formula1>
    </dataValidation>
    <dataValidation type="list" allowBlank="1" showInputMessage="1" showErrorMessage="1" sqref="D120:E120" xr:uid="{00000000-0002-0000-0400-000006000000}">
      <formula1>$D$599:$D$644</formula1>
    </dataValidation>
    <dataValidation type="list" allowBlank="1" showInputMessage="1" showErrorMessage="1" sqref="G261" xr:uid="{00000000-0002-0000-0400-000007000000}">
      <formula1>$L$294:$L$297</formula1>
    </dataValidation>
    <dataValidation type="list" allowBlank="1" showInputMessage="1" showErrorMessage="1" sqref="M257" xr:uid="{00000000-0002-0000-0400-000008000000}">
      <formula1>$J$695:$J$698</formula1>
    </dataValidation>
    <dataValidation type="list" allowBlank="1" showInputMessage="1" showErrorMessage="1" sqref="C257" xr:uid="{00000000-0002-0000-0400-000009000000}">
      <formula1>$F$693:$F$703</formula1>
    </dataValidation>
    <dataValidation type="list" allowBlank="1" showInputMessage="1" showErrorMessage="1" sqref="J221:J222" xr:uid="{00000000-0002-0000-0400-00000A000000}">
      <formula1>$H$527:$H$544</formula1>
    </dataValidation>
    <dataValidation type="list" allowBlank="1" showInputMessage="1" showErrorMessage="1" sqref="E246" xr:uid="{00000000-0002-0000-0400-00000B000000}">
      <formula1>$J$553:$J$555</formula1>
    </dataValidation>
    <dataValidation type="list" allowBlank="1" showInputMessage="1" showErrorMessage="1" sqref="L241" xr:uid="{00000000-0002-0000-0400-00000C000000}">
      <formula1>$F$559:$F$569</formula1>
    </dataValidation>
    <dataValidation type="list" allowBlank="1" showInputMessage="1" showErrorMessage="1" sqref="K241:K242" xr:uid="{00000000-0002-0000-0400-00000D000000}">
      <formula1>$H$532:$H$549</formula1>
    </dataValidation>
    <dataValidation type="list" allowBlank="1" showInputMessage="1" showErrorMessage="1" sqref="G246" xr:uid="{00000000-0002-0000-0400-00000E000000}">
      <formula1>$N$557:$N$563</formula1>
    </dataValidation>
    <dataValidation type="list" allowBlank="1" showInputMessage="1" showErrorMessage="1" sqref="G347" xr:uid="{00000000-0002-0000-0400-00000F000000}">
      <formula1>$N$592:$N$598</formula1>
    </dataValidation>
    <dataValidation type="list" allowBlank="1" showInputMessage="1" showErrorMessage="1" sqref="K342:K343" xr:uid="{00000000-0002-0000-0400-000010000000}">
      <formula1>$H$567:$H$584</formula1>
    </dataValidation>
    <dataValidation type="list" allowBlank="1" showInputMessage="1" showErrorMessage="1" sqref="E347" xr:uid="{00000000-0002-0000-0400-000011000000}">
      <formula1>$J$588:$J$590</formula1>
    </dataValidation>
  </dataValidations>
  <pageMargins left="0.70866141732283472" right="0" top="0.35433070866141736" bottom="0.19685039370078741" header="0.31496062992125984" footer="0"/>
  <pageSetup paperSize="9" scale="79" orientation="portrait" horizontalDpi="300" verticalDpi="300" r:id="rId1"/>
  <headerFooter>
    <oddFooter>&amp;CP&amp;P</oddFooter>
  </headerFooter>
  <rowBreaks count="5" manualBreakCount="5">
    <brk id="62" min="1" max="12" man="1"/>
    <brk id="117" min="1" max="12" man="1"/>
    <brk id="185" min="1" max="12" man="1"/>
    <brk id="249" min="1" max="12" man="1"/>
    <brk id="285" min="1" max="12" man="1"/>
  </rowBreaks>
  <drawing r:id="rId2"/>
  <legacyDrawing r:id="rId3"/>
  <oleObjects>
    <mc:AlternateContent xmlns:mc="http://schemas.openxmlformats.org/markup-compatibility/2006">
      <mc:Choice Requires="x14">
        <oleObject progId="JexPad.Document" shapeId="11267" r:id="rId4">
          <objectPr defaultSize="0" autoPict="0" r:id="rId5">
            <anchor moveWithCells="1">
              <from>
                <xdr:col>4</xdr:col>
                <xdr:colOff>19050</xdr:colOff>
                <xdr:row>162</xdr:row>
                <xdr:rowOff>28575</xdr:rowOff>
              </from>
              <to>
                <xdr:col>12</xdr:col>
                <xdr:colOff>95250</xdr:colOff>
                <xdr:row>172</xdr:row>
                <xdr:rowOff>57150</xdr:rowOff>
              </to>
            </anchor>
          </objectPr>
        </oleObject>
      </mc:Choice>
      <mc:Fallback>
        <oleObject progId="JexPad.Document" shapeId="11267" r:id="rId4"/>
      </mc:Fallback>
    </mc:AlternateContent>
    <mc:AlternateContent xmlns:mc="http://schemas.openxmlformats.org/markup-compatibility/2006">
      <mc:Choice Requires="x14">
        <oleObject progId="JexPad.Document" shapeId="11269" r:id="rId6">
          <objectPr defaultSize="0" autoPict="0" r:id="rId7">
            <anchor moveWithCells="1">
              <from>
                <xdr:col>3</xdr:col>
                <xdr:colOff>295275</xdr:colOff>
                <xdr:row>173</xdr:row>
                <xdr:rowOff>19050</xdr:rowOff>
              </from>
              <to>
                <xdr:col>11</xdr:col>
                <xdr:colOff>428625</xdr:colOff>
                <xdr:row>184</xdr:row>
                <xdr:rowOff>95250</xdr:rowOff>
              </to>
            </anchor>
          </objectPr>
        </oleObject>
      </mc:Choice>
      <mc:Fallback>
        <oleObject progId="JexPad.Document" shapeId="11269" r:id="rId6"/>
      </mc:Fallback>
    </mc:AlternateContent>
    <mc:AlternateContent xmlns:mc="http://schemas.openxmlformats.org/markup-compatibility/2006">
      <mc:Choice Requires="x14">
        <oleObject progId="JexPad.Document" shapeId="11270" r:id="rId8">
          <objectPr defaultSize="0" autoPict="0" r:id="rId9">
            <anchor moveWithCells="1">
              <from>
                <xdr:col>2</xdr:col>
                <xdr:colOff>180975</xdr:colOff>
                <xdr:row>190</xdr:row>
                <xdr:rowOff>38100</xdr:rowOff>
              </from>
              <to>
                <xdr:col>11</xdr:col>
                <xdr:colOff>314325</xdr:colOff>
                <xdr:row>209</xdr:row>
                <xdr:rowOff>0</xdr:rowOff>
              </to>
            </anchor>
          </objectPr>
        </oleObject>
      </mc:Choice>
      <mc:Fallback>
        <oleObject progId="JexPad.Document" shapeId="11270" r:id="rId8"/>
      </mc:Fallback>
    </mc:AlternateContent>
    <mc:AlternateContent xmlns:mc="http://schemas.openxmlformats.org/markup-compatibility/2006">
      <mc:Choice Requires="x14">
        <oleObject progId="JexPad.Document" shapeId="11272" r:id="rId10">
          <objectPr defaultSize="0" autoPict="0" r:id="rId11">
            <anchor moveWithCells="1">
              <from>
                <xdr:col>1</xdr:col>
                <xdr:colOff>85725</xdr:colOff>
                <xdr:row>285</xdr:row>
                <xdr:rowOff>104775</xdr:rowOff>
              </from>
              <to>
                <xdr:col>12</xdr:col>
                <xdr:colOff>514350</xdr:colOff>
                <xdr:row>333</xdr:row>
                <xdr:rowOff>152400</xdr:rowOff>
              </to>
            </anchor>
          </objectPr>
        </oleObject>
      </mc:Choice>
      <mc:Fallback>
        <oleObject progId="JexPad.Document" shapeId="11272" r:id="rId10"/>
      </mc:Fallback>
    </mc:AlternateContent>
    <mc:AlternateContent xmlns:mc="http://schemas.openxmlformats.org/markup-compatibility/2006">
      <mc:Choice Requires="x14">
        <oleObject progId="JexPad.Document" shapeId="11286" r:id="rId12">
          <objectPr defaultSize="0" autoPict="0" r:id="rId13">
            <anchor moveWithCells="1">
              <from>
                <xdr:col>2</xdr:col>
                <xdr:colOff>152400</xdr:colOff>
                <xdr:row>94</xdr:row>
                <xdr:rowOff>9525</xdr:rowOff>
              </from>
              <to>
                <xdr:col>12</xdr:col>
                <xdr:colOff>19050</xdr:colOff>
                <xdr:row>116</xdr:row>
                <xdr:rowOff>28575</xdr:rowOff>
              </to>
            </anchor>
          </objectPr>
        </oleObject>
      </mc:Choice>
      <mc:Fallback>
        <oleObject progId="JexPad.Document" shapeId="11286"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
  <sheetViews>
    <sheetView showGridLines="0" showRowColHeaders="0" workbookViewId="0">
      <selection activeCell="K19" sqref="K19"/>
    </sheetView>
  </sheetViews>
  <sheetFormatPr defaultRowHeight="14.25" x14ac:dyDescent="0.15"/>
  <cols>
    <col min="1" max="1" width="7.5" customWidth="1"/>
    <col min="9" max="9" width="9.5" customWidth="1"/>
  </cols>
  <sheetData>
    <row r="1" spans="2:2" ht="17.25" x14ac:dyDescent="0.15">
      <c r="B1" s="64" t="s">
        <v>420</v>
      </c>
    </row>
  </sheetData>
  <sheetProtection password="CC79" sheet="1" objects="1" scenarios="1"/>
  <phoneticPr fontId="3"/>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662"/>
  <sheetViews>
    <sheetView showGridLines="0" showRowColHeaders="0" showZeros="0" workbookViewId="0">
      <selection activeCell="K22" sqref="K22"/>
    </sheetView>
  </sheetViews>
  <sheetFormatPr defaultColWidth="10.75" defaultRowHeight="14.25" x14ac:dyDescent="0.15"/>
  <cols>
    <col min="1" max="1" width="3.625" style="60" customWidth="1"/>
    <col min="2" max="2" width="12.5" style="60" customWidth="1"/>
    <col min="3" max="4" width="14.375" style="60" customWidth="1"/>
    <col min="5" max="7" width="10.75" style="60"/>
    <col min="8" max="8" width="11.875" style="60" customWidth="1"/>
    <col min="9" max="9" width="11.25" style="60" customWidth="1"/>
    <col min="10" max="16384" width="10.75" style="60"/>
  </cols>
  <sheetData>
    <row r="1" spans="2:10" ht="15.95" customHeight="1" x14ac:dyDescent="0.15">
      <c r="B1" s="518" t="s">
        <v>41</v>
      </c>
      <c r="C1" s="194"/>
      <c r="D1" s="194"/>
      <c r="E1" s="194"/>
      <c r="F1" s="194"/>
      <c r="G1" s="194"/>
      <c r="H1" s="194"/>
      <c r="I1" s="23"/>
      <c r="J1" s="8"/>
    </row>
    <row r="2" spans="2:10" ht="15.95" customHeight="1" x14ac:dyDescent="0.15">
      <c r="B2" s="485" t="s">
        <v>42</v>
      </c>
      <c r="C2" s="521"/>
      <c r="D2" s="194"/>
      <c r="E2" s="194"/>
      <c r="F2" s="302"/>
      <c r="G2" s="194"/>
      <c r="H2" s="479"/>
      <c r="I2" s="9"/>
      <c r="J2" s="8"/>
    </row>
    <row r="3" spans="2:10" ht="15.95" customHeight="1" x14ac:dyDescent="0.15">
      <c r="B3" s="194" t="s">
        <v>43</v>
      </c>
      <c r="C3" s="194"/>
      <c r="D3" s="302"/>
      <c r="E3" s="480" t="s">
        <v>44</v>
      </c>
      <c r="F3" s="480"/>
      <c r="G3" s="480"/>
      <c r="H3" s="194"/>
      <c r="I3" s="23"/>
      <c r="J3" s="8"/>
    </row>
    <row r="4" spans="2:10" ht="15.95" customHeight="1" x14ac:dyDescent="0.15">
      <c r="B4" s="194" t="s">
        <v>45</v>
      </c>
      <c r="C4" s="302" t="s">
        <v>45</v>
      </c>
      <c r="D4" s="62" t="s">
        <v>953</v>
      </c>
      <c r="E4" s="481">
        <f>IF(D4=0,0,+VALUE(RIGHT(+D4,3)))</f>
        <v>650</v>
      </c>
      <c r="F4" s="194"/>
      <c r="G4" s="480"/>
      <c r="H4" s="194"/>
      <c r="I4" s="23"/>
      <c r="J4" s="8"/>
    </row>
    <row r="5" spans="2:10" ht="15.95" customHeight="1" x14ac:dyDescent="0.15">
      <c r="B5" s="194"/>
      <c r="C5" s="302" t="s">
        <v>46</v>
      </c>
      <c r="D5" s="62" t="s">
        <v>652</v>
      </c>
      <c r="E5" s="481">
        <f>IF(D5=0,0,+VALUE(RIGHT(+D5,3)))</f>
        <v>150</v>
      </c>
      <c r="F5" s="194"/>
      <c r="G5" s="480"/>
      <c r="H5" s="194"/>
      <c r="I5" s="23"/>
      <c r="J5" s="8"/>
    </row>
    <row r="6" spans="2:10" ht="15.95" customHeight="1" x14ac:dyDescent="0.15">
      <c r="B6" s="194"/>
      <c r="C6" s="194" t="s">
        <v>5</v>
      </c>
      <c r="D6" s="59" t="s">
        <v>186</v>
      </c>
      <c r="E6" s="482">
        <f>IF(D6=0,0,VALUE(RIGHT(D6,4)))</f>
        <v>50</v>
      </c>
      <c r="F6" s="483"/>
      <c r="G6" s="484">
        <f>SUM(E4:E6)</f>
        <v>850</v>
      </c>
      <c r="H6" s="485" t="s">
        <v>47</v>
      </c>
      <c r="I6" s="23"/>
      <c r="J6" s="8"/>
    </row>
    <row r="7" spans="2:10" ht="15.95" customHeight="1" x14ac:dyDescent="0.15">
      <c r="B7" s="302" t="s">
        <v>48</v>
      </c>
      <c r="C7" s="62" t="s">
        <v>218</v>
      </c>
      <c r="D7" s="302" t="str">
        <f>+""</f>
        <v/>
      </c>
      <c r="E7" s="482">
        <f>IF(C7=0,0,+VALUE(RIGHT(+C7,3)))</f>
        <v>190</v>
      </c>
      <c r="F7" s="194"/>
      <c r="G7" s="194"/>
      <c r="H7" s="194"/>
      <c r="I7" s="23"/>
      <c r="J7" s="8"/>
    </row>
    <row r="8" spans="2:10" ht="15.95" customHeight="1" x14ac:dyDescent="0.15">
      <c r="B8" s="194"/>
      <c r="C8" s="302" t="s">
        <v>49</v>
      </c>
      <c r="D8" s="302"/>
      <c r="E8" s="194">
        <v>150</v>
      </c>
      <c r="F8" s="194"/>
      <c r="G8" s="194"/>
      <c r="H8" s="194"/>
      <c r="I8" s="23"/>
      <c r="J8" s="8"/>
    </row>
    <row r="9" spans="2:10" ht="15.95" customHeight="1" x14ac:dyDescent="0.15">
      <c r="B9" s="194"/>
      <c r="C9" s="302" t="s">
        <v>46</v>
      </c>
      <c r="D9" s="62" t="s">
        <v>50</v>
      </c>
      <c r="E9" s="481">
        <f>IF(D9=0,0,+VALUE(RIGHT(+D9,3)))</f>
        <v>150</v>
      </c>
      <c r="F9" s="194"/>
      <c r="G9" s="486">
        <f>SUM(E7:E9)</f>
        <v>490</v>
      </c>
      <c r="H9" s="485" t="s">
        <v>51</v>
      </c>
      <c r="I9" s="23"/>
      <c r="J9" s="8"/>
    </row>
    <row r="10" spans="2:10" ht="15.95" customHeight="1" x14ac:dyDescent="0.15">
      <c r="B10" s="302" t="s">
        <v>52</v>
      </c>
      <c r="C10" s="62" t="s">
        <v>219</v>
      </c>
      <c r="D10" s="302" t="str">
        <f>+""</f>
        <v/>
      </c>
      <c r="E10" s="482">
        <f>IF(C10=0,0,+VALUE(RIGHT(+C10,3)))</f>
        <v>190</v>
      </c>
      <c r="F10" s="194"/>
      <c r="G10" s="486"/>
      <c r="H10" s="194"/>
      <c r="I10" s="23"/>
      <c r="J10" s="8"/>
    </row>
    <row r="11" spans="2:10" ht="15.95" customHeight="1" x14ac:dyDescent="0.15">
      <c r="B11" s="194"/>
      <c r="C11" s="302" t="s">
        <v>53</v>
      </c>
      <c r="D11" s="194"/>
      <c r="E11" s="194">
        <v>100</v>
      </c>
      <c r="F11" s="194"/>
      <c r="G11" s="486">
        <f>SUM(E10:E11)</f>
        <v>290</v>
      </c>
      <c r="H11" s="485" t="s">
        <v>47</v>
      </c>
      <c r="I11" s="23"/>
      <c r="J11" s="8"/>
    </row>
    <row r="12" spans="2:10" ht="15.95" customHeight="1" x14ac:dyDescent="0.15">
      <c r="B12" s="194" t="s">
        <v>233</v>
      </c>
      <c r="C12" s="59" t="s">
        <v>234</v>
      </c>
      <c r="D12" s="194" t="str">
        <f>+""</f>
        <v/>
      </c>
      <c r="E12" s="194">
        <f>IF(C12=0,"",+VALUE(RIGHT(C12,7)))</f>
        <v>590</v>
      </c>
      <c r="F12" s="486"/>
      <c r="G12" s="486"/>
      <c r="H12" s="485"/>
      <c r="I12" s="23"/>
      <c r="J12" s="8"/>
    </row>
    <row r="13" spans="2:10" ht="15.95" customHeight="1" x14ac:dyDescent="0.15">
      <c r="B13" s="194"/>
      <c r="C13" s="59" t="s">
        <v>223</v>
      </c>
      <c r="D13" s="194" t="str">
        <f>+""</f>
        <v/>
      </c>
      <c r="E13" s="194">
        <f>IF(C13=0,"",+VALUE(RIGHT(C13,7)))</f>
        <v>90</v>
      </c>
      <c r="F13" s="486"/>
      <c r="G13" s="486"/>
      <c r="H13" s="485"/>
      <c r="I13" s="23"/>
      <c r="J13" s="8"/>
    </row>
    <row r="14" spans="2:10" ht="15.95" customHeight="1" x14ac:dyDescent="0.15">
      <c r="B14" s="194"/>
      <c r="C14" s="59" t="s">
        <v>219</v>
      </c>
      <c r="D14" s="194" t="str">
        <f>+""</f>
        <v/>
      </c>
      <c r="E14" s="194">
        <f>IF(C14=0,"",+VALUE(RIGHT(C14,7)))</f>
        <v>190</v>
      </c>
      <c r="F14" s="486"/>
      <c r="G14" s="486"/>
      <c r="H14" s="485"/>
      <c r="I14" s="23"/>
      <c r="J14" s="8"/>
    </row>
    <row r="15" spans="2:10" ht="15.95" customHeight="1" x14ac:dyDescent="0.15">
      <c r="B15" s="194"/>
      <c r="C15" s="59"/>
      <c r="D15" s="194" t="str">
        <f>+""</f>
        <v/>
      </c>
      <c r="E15" s="194" t="str">
        <f>IF(C15=0,"",+VALUE(RIGHT(C15,7)))</f>
        <v/>
      </c>
      <c r="F15" s="486"/>
      <c r="G15" s="486">
        <f>SUM(E12:E16)</f>
        <v>1020</v>
      </c>
      <c r="H15" s="485" t="s">
        <v>47</v>
      </c>
      <c r="I15" s="23"/>
      <c r="J15" s="8"/>
    </row>
    <row r="16" spans="2:10" ht="15.95" customHeight="1" x14ac:dyDescent="0.15">
      <c r="B16" s="194"/>
      <c r="C16" s="302" t="s">
        <v>49</v>
      </c>
      <c r="D16" s="194"/>
      <c r="E16" s="194">
        <v>150</v>
      </c>
      <c r="F16" s="486"/>
      <c r="G16" s="486"/>
      <c r="H16" s="485"/>
      <c r="I16" s="23"/>
      <c r="J16" s="8"/>
    </row>
    <row r="17" spans="2:14" ht="15.95" customHeight="1" x14ac:dyDescent="0.15">
      <c r="B17" s="194"/>
      <c r="C17" s="194"/>
      <c r="D17" s="302"/>
      <c r="E17" s="194"/>
      <c r="F17" s="487"/>
      <c r="G17" s="486"/>
      <c r="H17" s="194"/>
      <c r="I17" s="23"/>
      <c r="J17" s="8"/>
    </row>
    <row r="18" spans="2:14" ht="15.95" customHeight="1" x14ac:dyDescent="0.15">
      <c r="B18" s="194" t="s">
        <v>722</v>
      </c>
      <c r="C18" s="302" t="s">
        <v>54</v>
      </c>
      <c r="D18" s="59" t="s">
        <v>791</v>
      </c>
      <c r="E18" s="481">
        <f>IF(D18=0,0,+VALUE(RIGHT(+D18,3)))</f>
        <v>100</v>
      </c>
      <c r="F18" s="194"/>
      <c r="G18" s="486"/>
      <c r="H18" s="194"/>
      <c r="I18" s="23"/>
      <c r="J18" s="8"/>
    </row>
    <row r="19" spans="2:14" ht="15.95" customHeight="1" x14ac:dyDescent="0.15">
      <c r="B19" s="302"/>
      <c r="C19" s="59" t="s">
        <v>324</v>
      </c>
      <c r="D19" s="302" t="str">
        <f>+""</f>
        <v/>
      </c>
      <c r="E19" s="482">
        <f>IF(C19=0,0,+VALUE(RIGHT(+C19,3)))</f>
        <v>200</v>
      </c>
      <c r="F19" s="194"/>
      <c r="G19" s="486"/>
      <c r="H19" s="194"/>
      <c r="I19" s="23"/>
      <c r="J19" s="8"/>
      <c r="M19" s="56"/>
      <c r="N19" s="56"/>
    </row>
    <row r="20" spans="2:14" ht="15.95" customHeight="1" x14ac:dyDescent="0.15">
      <c r="B20" s="194"/>
      <c r="C20" s="302" t="s">
        <v>55</v>
      </c>
      <c r="D20" s="59" t="s">
        <v>56</v>
      </c>
      <c r="E20" s="481">
        <f>IF(D20=0,0,+VALUE(RIGHT(+D20,3)))</f>
        <v>150</v>
      </c>
      <c r="F20" s="194"/>
      <c r="G20" s="486">
        <f>SUM(E18:E20)</f>
        <v>450</v>
      </c>
      <c r="H20" s="485" t="s">
        <v>57</v>
      </c>
      <c r="I20" s="23"/>
      <c r="J20" s="8"/>
      <c r="M20" s="56"/>
      <c r="N20" s="134"/>
    </row>
    <row r="21" spans="2:14" ht="15.95" customHeight="1" x14ac:dyDescent="0.15">
      <c r="B21" s="194"/>
      <c r="C21" s="194"/>
      <c r="D21" s="302"/>
      <c r="E21" s="194"/>
      <c r="F21" s="194"/>
      <c r="G21" s="486"/>
      <c r="H21" s="485"/>
      <c r="I21" s="23"/>
      <c r="J21" s="8"/>
      <c r="M21" s="56"/>
      <c r="N21" s="134"/>
    </row>
    <row r="22" spans="2:14" ht="15.95" customHeight="1" x14ac:dyDescent="0.15">
      <c r="B22" s="194" t="s">
        <v>723</v>
      </c>
      <c r="C22" s="302" t="s">
        <v>55</v>
      </c>
      <c r="D22" s="59" t="s">
        <v>791</v>
      </c>
      <c r="E22" s="481">
        <f>IF(D22=0,0,+VALUE(RIGHT(+D22,3)))</f>
        <v>100</v>
      </c>
      <c r="F22" s="194"/>
      <c r="G22" s="486"/>
      <c r="H22" s="485"/>
      <c r="I22" s="23"/>
      <c r="J22" s="8"/>
      <c r="M22" s="56"/>
      <c r="N22" s="134"/>
    </row>
    <row r="23" spans="2:14" ht="15.95" customHeight="1" x14ac:dyDescent="0.15">
      <c r="B23" s="519" t="s">
        <v>58</v>
      </c>
      <c r="C23" s="59" t="s">
        <v>792</v>
      </c>
      <c r="D23" s="302" t="str">
        <f>+""</f>
        <v/>
      </c>
      <c r="E23" s="482">
        <f>IF(C23=0,0,+VALUE(RIGHT(+C23,3)))</f>
        <v>850</v>
      </c>
      <c r="F23" s="194"/>
      <c r="G23" s="486"/>
      <c r="H23" s="485"/>
      <c r="I23" s="23"/>
      <c r="J23" s="8"/>
      <c r="M23" s="56"/>
      <c r="N23" s="134"/>
    </row>
    <row r="24" spans="2:14" ht="15.95" customHeight="1" x14ac:dyDescent="0.15">
      <c r="B24" s="194"/>
      <c r="C24" s="302" t="s">
        <v>55</v>
      </c>
      <c r="D24" s="59" t="s">
        <v>56</v>
      </c>
      <c r="E24" s="481">
        <f>IF(D24=0,0,+VALUE(RIGHT(+D24,3)))</f>
        <v>150</v>
      </c>
      <c r="F24" s="194"/>
      <c r="G24" s="486">
        <f>SUM(E22:E24)</f>
        <v>1100</v>
      </c>
      <c r="H24" s="485" t="s">
        <v>57</v>
      </c>
      <c r="I24" s="23"/>
      <c r="J24" s="8"/>
      <c r="M24" s="56"/>
      <c r="N24" s="134"/>
    </row>
    <row r="25" spans="2:14" ht="15.95" customHeight="1" x14ac:dyDescent="0.15">
      <c r="B25" s="194"/>
      <c r="C25" s="194"/>
      <c r="D25" s="302"/>
      <c r="E25" s="194"/>
      <c r="F25" s="194"/>
      <c r="G25" s="486"/>
      <c r="H25" s="485"/>
      <c r="I25" s="23"/>
      <c r="J25" s="8"/>
      <c r="M25" s="56"/>
      <c r="N25" s="134"/>
    </row>
    <row r="26" spans="2:14" ht="15.95" customHeight="1" x14ac:dyDescent="0.15">
      <c r="B26" s="194" t="s">
        <v>724</v>
      </c>
      <c r="C26" s="302" t="s">
        <v>55</v>
      </c>
      <c r="D26" s="59" t="s">
        <v>59</v>
      </c>
      <c r="E26" s="481">
        <f>IF(D26=0,0,+VALUE(RIGHT(+D26,3)))</f>
        <v>400</v>
      </c>
      <c r="F26" s="194"/>
      <c r="G26" s="486"/>
      <c r="H26" s="485"/>
      <c r="I26" s="23"/>
      <c r="J26" s="8"/>
      <c r="M26" s="56"/>
      <c r="N26" s="56"/>
    </row>
    <row r="27" spans="2:14" ht="15.95" customHeight="1" x14ac:dyDescent="0.15">
      <c r="B27" s="519" t="s">
        <v>60</v>
      </c>
      <c r="C27" s="522" t="s">
        <v>61</v>
      </c>
      <c r="D27" s="302" t="str">
        <f>+""</f>
        <v/>
      </c>
      <c r="E27" s="482">
        <f>IF(C27=0,0,+VALUE(RIGHT(+C27,3)))</f>
        <v>850</v>
      </c>
      <c r="F27" s="194"/>
      <c r="G27" s="486"/>
      <c r="H27" s="485"/>
      <c r="I27" s="23"/>
      <c r="J27" s="8"/>
    </row>
    <row r="28" spans="2:14" ht="15.95" customHeight="1" x14ac:dyDescent="0.15">
      <c r="B28" s="194"/>
      <c r="C28" s="302" t="s">
        <v>55</v>
      </c>
      <c r="D28" s="59" t="s">
        <v>56</v>
      </c>
      <c r="E28" s="481">
        <f>IF(D28=0,0,+VALUE(RIGHT(+D28,3)))</f>
        <v>150</v>
      </c>
      <c r="F28" s="194"/>
      <c r="G28" s="486">
        <f>SUM(E26:E28)</f>
        <v>1400</v>
      </c>
      <c r="H28" s="485" t="s">
        <v>51</v>
      </c>
      <c r="I28" s="23"/>
      <c r="J28" s="8"/>
    </row>
    <row r="29" spans="2:14" ht="15.95" customHeight="1" x14ac:dyDescent="0.15">
      <c r="B29" s="194"/>
      <c r="C29" s="194"/>
      <c r="D29" s="302"/>
      <c r="E29" s="194"/>
      <c r="F29" s="194"/>
      <c r="G29" s="486"/>
      <c r="H29" s="485"/>
      <c r="I29" s="23"/>
      <c r="J29" s="8"/>
    </row>
    <row r="30" spans="2:14" ht="15.95" customHeight="1" x14ac:dyDescent="0.15">
      <c r="B30" s="194" t="s">
        <v>725</v>
      </c>
      <c r="C30" s="302" t="s">
        <v>55</v>
      </c>
      <c r="D30" s="59" t="s">
        <v>720</v>
      </c>
      <c r="E30" s="481">
        <f>IF(D30=0,0,+VALUE(RIGHT(+D30,3)))</f>
        <v>750</v>
      </c>
      <c r="F30" s="194"/>
      <c r="G30" s="486"/>
      <c r="H30" s="485"/>
      <c r="I30" s="23"/>
      <c r="J30" s="8"/>
    </row>
    <row r="31" spans="2:14" ht="15.95" customHeight="1" x14ac:dyDescent="0.15">
      <c r="B31" s="519"/>
      <c r="C31" s="59" t="s">
        <v>61</v>
      </c>
      <c r="D31" s="302" t="str">
        <f>+""</f>
        <v/>
      </c>
      <c r="E31" s="482">
        <f>IF(C31=0,0,+VALUE(RIGHT(+C31,3)))</f>
        <v>850</v>
      </c>
      <c r="F31" s="194"/>
      <c r="G31" s="486"/>
      <c r="H31" s="485"/>
      <c r="I31" s="23"/>
      <c r="J31" s="8"/>
    </row>
    <row r="32" spans="2:14" ht="15.95" customHeight="1" x14ac:dyDescent="0.15">
      <c r="B32" s="194"/>
      <c r="C32" s="302" t="s">
        <v>55</v>
      </c>
      <c r="D32" s="59" t="s">
        <v>56</v>
      </c>
      <c r="E32" s="481">
        <f>IF(D32=0,0,+VALUE(RIGHT(+D32,3)))</f>
        <v>150</v>
      </c>
      <c r="F32" s="194"/>
      <c r="G32" s="486">
        <f>SUM(E30:E32)</f>
        <v>1750</v>
      </c>
      <c r="H32" s="485" t="s">
        <v>51</v>
      </c>
      <c r="I32" s="23"/>
      <c r="J32" s="8"/>
    </row>
    <row r="33" spans="2:10" ht="15.95" customHeight="1" x14ac:dyDescent="0.15">
      <c r="B33" s="194"/>
      <c r="C33" s="194"/>
      <c r="D33" s="302"/>
      <c r="E33" s="194"/>
      <c r="F33" s="194"/>
      <c r="G33" s="486"/>
      <c r="H33" s="485"/>
      <c r="I33" s="23"/>
      <c r="J33" s="8"/>
    </row>
    <row r="34" spans="2:10" ht="15.95" customHeight="1" x14ac:dyDescent="0.15">
      <c r="B34" s="194" t="s">
        <v>726</v>
      </c>
      <c r="C34" s="302" t="s">
        <v>55</v>
      </c>
      <c r="D34" s="59" t="s">
        <v>720</v>
      </c>
      <c r="E34" s="481">
        <f>IF(D34=0,0,+VALUE(RIGHT(+D34,3)))</f>
        <v>750</v>
      </c>
      <c r="F34" s="194"/>
      <c r="G34" s="486"/>
      <c r="H34" s="485"/>
      <c r="I34" s="23"/>
      <c r="J34" s="8"/>
    </row>
    <row r="35" spans="2:10" ht="15.95" customHeight="1" x14ac:dyDescent="0.15">
      <c r="B35" s="519"/>
      <c r="C35" s="59" t="s">
        <v>61</v>
      </c>
      <c r="D35" s="302" t="str">
        <f>+""</f>
        <v/>
      </c>
      <c r="E35" s="482">
        <f>IF(C35=0,0,+VALUE(RIGHT(+C35,3)))</f>
        <v>850</v>
      </c>
      <c r="F35" s="194"/>
      <c r="G35" s="486"/>
      <c r="H35" s="485"/>
      <c r="I35" s="23"/>
      <c r="J35" s="8"/>
    </row>
    <row r="36" spans="2:10" ht="15.95" customHeight="1" x14ac:dyDescent="0.15">
      <c r="B36" s="194"/>
      <c r="C36" s="302" t="s">
        <v>55</v>
      </c>
      <c r="D36" s="59" t="s">
        <v>56</v>
      </c>
      <c r="E36" s="481">
        <f>IF(D36=0,0,+VALUE(RIGHT(+D36,3)))</f>
        <v>150</v>
      </c>
      <c r="F36" s="194"/>
      <c r="G36" s="486">
        <f>SUM(E34:E36)</f>
        <v>1750</v>
      </c>
      <c r="H36" s="485" t="s">
        <v>51</v>
      </c>
      <c r="I36" s="23"/>
      <c r="J36" s="8"/>
    </row>
    <row r="37" spans="2:10" ht="15.95" customHeight="1" x14ac:dyDescent="0.15">
      <c r="B37" s="194"/>
      <c r="C37" s="302"/>
      <c r="D37" s="419"/>
      <c r="E37" s="481"/>
      <c r="F37" s="194"/>
      <c r="G37" s="486"/>
      <c r="H37" s="485"/>
      <c r="I37" s="23"/>
      <c r="J37" s="8"/>
    </row>
    <row r="38" spans="2:10" ht="15.95" customHeight="1" x14ac:dyDescent="0.15">
      <c r="B38" s="194" t="s">
        <v>721</v>
      </c>
      <c r="C38" s="302"/>
      <c r="D38" s="419"/>
      <c r="E38" s="481"/>
      <c r="F38" s="194"/>
      <c r="G38" s="486">
        <v>400</v>
      </c>
      <c r="H38" s="485" t="s">
        <v>51</v>
      </c>
      <c r="I38" s="23"/>
      <c r="J38" s="8"/>
    </row>
    <row r="39" spans="2:10" ht="15.95" customHeight="1" x14ac:dyDescent="0.15">
      <c r="B39" s="194"/>
      <c r="C39" s="194"/>
      <c r="D39" s="302"/>
      <c r="E39" s="194"/>
      <c r="F39" s="194"/>
      <c r="G39" s="486"/>
      <c r="H39" s="485"/>
      <c r="I39" s="23"/>
      <c r="J39" s="8"/>
    </row>
    <row r="40" spans="2:10" ht="15.95" customHeight="1" x14ac:dyDescent="0.15">
      <c r="B40" s="194" t="s">
        <v>62</v>
      </c>
      <c r="C40" s="194"/>
      <c r="D40" s="302"/>
      <c r="E40" s="194"/>
      <c r="F40" s="194"/>
      <c r="G40" s="194"/>
      <c r="H40" s="194"/>
      <c r="I40" s="23"/>
      <c r="J40" s="8"/>
    </row>
    <row r="41" spans="2:10" ht="15.95" customHeight="1" x14ac:dyDescent="0.15">
      <c r="B41" s="194"/>
      <c r="C41" s="302" t="s">
        <v>63</v>
      </c>
      <c r="D41" s="256">
        <f>+断面算定!P3</f>
        <v>0</v>
      </c>
      <c r="E41" s="302" t="s">
        <v>65</v>
      </c>
      <c r="F41" s="194"/>
      <c r="G41" s="488">
        <f>+VALUE(RIGHT(+D41,3))</f>
        <v>0</v>
      </c>
      <c r="H41" s="194" t="s">
        <v>66</v>
      </c>
      <c r="I41" s="23"/>
      <c r="J41" s="8"/>
    </row>
    <row r="42" spans="2:10" ht="15.95" customHeight="1" x14ac:dyDescent="0.15">
      <c r="B42" s="194"/>
      <c r="C42" s="523" t="s">
        <v>158</v>
      </c>
      <c r="D42" s="537">
        <f>+断面算定!G3</f>
        <v>0</v>
      </c>
      <c r="E42" s="487" t="str">
        <f>+""</f>
        <v/>
      </c>
      <c r="F42" s="194"/>
      <c r="G42" s="488"/>
      <c r="H42" s="194"/>
      <c r="I42" s="23"/>
      <c r="J42" s="8"/>
    </row>
    <row r="43" spans="2:10" ht="15.95" customHeight="1" x14ac:dyDescent="0.15">
      <c r="B43" s="194"/>
      <c r="C43" s="194" t="s">
        <v>205</v>
      </c>
      <c r="D43" s="496">
        <f>IF(D42=0,0,IF(VALUE(RIGHT(D42,3))=1,G41*30*0.7*100,0))</f>
        <v>0</v>
      </c>
      <c r="E43" s="194" t="s">
        <v>57</v>
      </c>
      <c r="F43" s="194"/>
      <c r="G43" s="194"/>
      <c r="H43" s="194"/>
      <c r="I43" s="23"/>
      <c r="J43" s="8"/>
    </row>
    <row r="44" spans="2:10" ht="15.95" customHeight="1" x14ac:dyDescent="0.15">
      <c r="B44" s="194"/>
      <c r="C44" s="194" t="s">
        <v>206</v>
      </c>
      <c r="D44" s="496">
        <f>IF(D42=0,0,IF(VALUE(RIGHT(D42,3))=1,G41*30*100,G41*20*100))</f>
        <v>0</v>
      </c>
      <c r="E44" s="194" t="s">
        <v>57</v>
      </c>
      <c r="F44" s="302"/>
      <c r="G44" s="302"/>
      <c r="H44" s="302"/>
      <c r="I44" s="23"/>
      <c r="J44" s="8"/>
    </row>
    <row r="45" spans="2:10" ht="15.95" customHeight="1" x14ac:dyDescent="0.15">
      <c r="B45" s="194"/>
      <c r="C45" s="194"/>
      <c r="D45" s="486"/>
      <c r="E45" s="194"/>
      <c r="F45" s="487"/>
      <c r="G45" s="487"/>
      <c r="H45" s="487"/>
      <c r="I45" s="8"/>
      <c r="J45" s="8"/>
    </row>
    <row r="46" spans="2:10" ht="15.95" customHeight="1" x14ac:dyDescent="0.15">
      <c r="B46" s="194" t="s">
        <v>70</v>
      </c>
      <c r="C46" s="302"/>
      <c r="D46" s="496">
        <f>+断面算定!X3</f>
        <v>0</v>
      </c>
      <c r="E46" s="302" t="str">
        <f>+""</f>
        <v/>
      </c>
      <c r="F46" s="487"/>
      <c r="G46" s="487"/>
      <c r="H46" s="487"/>
      <c r="I46" s="8"/>
      <c r="J46" s="8"/>
    </row>
    <row r="47" spans="2:10" ht="15.95" customHeight="1" x14ac:dyDescent="0.15">
      <c r="B47" s="194"/>
      <c r="C47" s="489" t="s">
        <v>68</v>
      </c>
      <c r="D47" s="489" t="s">
        <v>69</v>
      </c>
      <c r="E47" s="489" t="s">
        <v>204</v>
      </c>
      <c r="F47" s="302"/>
      <c r="G47" s="490"/>
      <c r="H47" s="490"/>
      <c r="I47" s="1"/>
      <c r="J47" s="8"/>
    </row>
    <row r="48" spans="2:10" ht="15.95" customHeight="1" x14ac:dyDescent="0.15">
      <c r="B48" s="194"/>
      <c r="C48" s="491" t="e">
        <f>VLOOKUP(F428,E430:H494,2)</f>
        <v>#N/A</v>
      </c>
      <c r="D48" s="491" t="e">
        <f>VLOOKUP(F428,E430:H494,3)</f>
        <v>#N/A</v>
      </c>
      <c r="E48" s="491" t="e">
        <f>VLOOKUP(F428,E430:H494,4)</f>
        <v>#N/A</v>
      </c>
      <c r="F48" s="492" t="s">
        <v>57</v>
      </c>
      <c r="G48" s="490"/>
      <c r="H48" s="490"/>
      <c r="I48" s="1"/>
      <c r="J48" s="8"/>
    </row>
    <row r="49" spans="2:10" ht="15.95" customHeight="1" x14ac:dyDescent="0.15">
      <c r="B49" s="194"/>
      <c r="C49" s="490"/>
      <c r="D49" s="490"/>
      <c r="E49" s="490"/>
      <c r="F49" s="492"/>
      <c r="G49" s="490"/>
      <c r="H49" s="490"/>
      <c r="I49" s="1"/>
      <c r="J49" s="8"/>
    </row>
    <row r="50" spans="2:10" ht="15.95" customHeight="1" x14ac:dyDescent="0.15">
      <c r="B50" s="194"/>
      <c r="C50" s="490"/>
      <c r="D50" s="490"/>
      <c r="E50" s="490"/>
      <c r="F50" s="492"/>
      <c r="G50" s="490"/>
      <c r="H50" s="490"/>
      <c r="I50" s="1"/>
      <c r="J50" s="8"/>
    </row>
    <row r="51" spans="2:10" ht="15.95" customHeight="1" x14ac:dyDescent="0.15">
      <c r="B51" s="194"/>
      <c r="C51" s="490"/>
      <c r="D51" s="490"/>
      <c r="E51" s="490"/>
      <c r="F51" s="492"/>
      <c r="G51" s="490"/>
      <c r="H51" s="490"/>
      <c r="I51" s="1"/>
      <c r="J51" s="8"/>
    </row>
    <row r="52" spans="2:10" ht="15.95" customHeight="1" x14ac:dyDescent="0.15">
      <c r="B52" s="194"/>
      <c r="C52" s="490"/>
      <c r="D52" s="490"/>
      <c r="E52" s="490"/>
      <c r="F52" s="492"/>
      <c r="G52" s="490"/>
      <c r="H52" s="490"/>
      <c r="I52" s="1"/>
      <c r="J52" s="8"/>
    </row>
    <row r="53" spans="2:10" ht="15.95" customHeight="1" x14ac:dyDescent="0.15">
      <c r="B53" s="194"/>
      <c r="C53" s="194"/>
      <c r="D53" s="302"/>
      <c r="E53" s="194"/>
      <c r="F53" s="302"/>
      <c r="G53" s="302"/>
      <c r="H53" s="302"/>
      <c r="I53" s="23"/>
      <c r="J53" s="8"/>
    </row>
    <row r="54" spans="2:10" ht="15.95" customHeight="1" x14ac:dyDescent="0.15">
      <c r="B54" s="302" t="s">
        <v>71</v>
      </c>
      <c r="C54" s="482"/>
      <c r="D54" s="524"/>
      <c r="E54" s="493"/>
      <c r="F54" s="482"/>
      <c r="G54" s="482"/>
      <c r="H54" s="194"/>
      <c r="I54" s="23"/>
      <c r="J54" s="8"/>
    </row>
    <row r="55" spans="2:10" ht="15.95" customHeight="1" x14ac:dyDescent="0.15">
      <c r="B55" s="487"/>
      <c r="C55" s="1430" t="s">
        <v>72</v>
      </c>
      <c r="D55" s="1429" t="s">
        <v>73</v>
      </c>
      <c r="E55" s="1428" t="s">
        <v>74</v>
      </c>
      <c r="F55" s="1428" t="s">
        <v>75</v>
      </c>
      <c r="G55" s="1429" t="s">
        <v>76</v>
      </c>
      <c r="H55" s="494"/>
      <c r="I55" s="7"/>
    </row>
    <row r="56" spans="2:10" ht="15.95" customHeight="1" x14ac:dyDescent="0.15">
      <c r="B56" s="487"/>
      <c r="C56" s="1157"/>
      <c r="D56" s="1157"/>
      <c r="E56" s="1157"/>
      <c r="F56" s="1157"/>
      <c r="G56" s="1157"/>
      <c r="H56" s="495"/>
      <c r="I56" s="52"/>
    </row>
    <row r="57" spans="2:10" ht="15.95" customHeight="1" x14ac:dyDescent="0.15">
      <c r="B57" s="487"/>
      <c r="C57" s="477" t="s">
        <v>45</v>
      </c>
      <c r="D57" s="418" t="s">
        <v>77</v>
      </c>
      <c r="E57" s="496">
        <f>+E4</f>
        <v>650</v>
      </c>
      <c r="F57" s="496">
        <f>+G6</f>
        <v>850</v>
      </c>
      <c r="G57" s="497">
        <f>+G6</f>
        <v>850</v>
      </c>
      <c r="H57" s="498"/>
      <c r="I57" s="53"/>
    </row>
    <row r="58" spans="2:10" ht="15.95" customHeight="1" x14ac:dyDescent="0.15">
      <c r="B58" s="487"/>
      <c r="C58" s="1430" t="s">
        <v>72</v>
      </c>
      <c r="D58" s="1429" t="s">
        <v>73</v>
      </c>
      <c r="E58" s="1431" t="s">
        <v>78</v>
      </c>
      <c r="F58" s="1431" t="s">
        <v>235</v>
      </c>
      <c r="G58" s="1429" t="s">
        <v>76</v>
      </c>
      <c r="H58" s="498"/>
      <c r="I58" s="53"/>
    </row>
    <row r="59" spans="2:10" ht="15.95" customHeight="1" x14ac:dyDescent="0.15">
      <c r="B59" s="487"/>
      <c r="C59" s="1157"/>
      <c r="D59" s="1157"/>
      <c r="E59" s="1320"/>
      <c r="F59" s="1320"/>
      <c r="G59" s="1157"/>
      <c r="H59" s="498"/>
      <c r="I59" s="53"/>
    </row>
    <row r="60" spans="2:10" ht="15.95" customHeight="1" x14ac:dyDescent="0.15">
      <c r="B60" s="487"/>
      <c r="C60" s="477" t="s">
        <v>79</v>
      </c>
      <c r="D60" s="418" t="s">
        <v>80</v>
      </c>
      <c r="E60" s="496">
        <f>+E7</f>
        <v>190</v>
      </c>
      <c r="F60" s="496">
        <f>+G9</f>
        <v>490</v>
      </c>
      <c r="G60" s="497">
        <f>+G9</f>
        <v>490</v>
      </c>
      <c r="H60" s="498"/>
      <c r="I60" s="53"/>
    </row>
    <row r="61" spans="2:10" ht="15.95" customHeight="1" x14ac:dyDescent="0.15">
      <c r="B61" s="487"/>
      <c r="C61" s="1430" t="s">
        <v>72</v>
      </c>
      <c r="D61" s="1429" t="s">
        <v>73</v>
      </c>
      <c r="E61" s="1431" t="s">
        <v>78</v>
      </c>
      <c r="F61" s="1431" t="s">
        <v>53</v>
      </c>
      <c r="G61" s="1432" t="s">
        <v>81</v>
      </c>
      <c r="H61" s="499"/>
      <c r="I61" s="54"/>
    </row>
    <row r="62" spans="2:10" ht="15.95" customHeight="1" x14ac:dyDescent="0.15">
      <c r="B62" s="487"/>
      <c r="C62" s="1157"/>
      <c r="D62" s="1157"/>
      <c r="E62" s="1320"/>
      <c r="F62" s="1320"/>
      <c r="G62" s="1320"/>
      <c r="H62" s="498"/>
      <c r="I62" s="53"/>
    </row>
    <row r="63" spans="2:10" ht="15.95" customHeight="1" x14ac:dyDescent="0.15">
      <c r="B63" s="487"/>
      <c r="C63" s="477" t="s">
        <v>82</v>
      </c>
      <c r="D63" s="418" t="s">
        <v>80</v>
      </c>
      <c r="E63" s="496">
        <f>+E10</f>
        <v>190</v>
      </c>
      <c r="F63" s="496">
        <f>+G11</f>
        <v>290</v>
      </c>
      <c r="G63" s="497">
        <f>+G11</f>
        <v>290</v>
      </c>
      <c r="H63" s="500"/>
      <c r="I63" s="55"/>
    </row>
    <row r="64" spans="2:10" ht="15.95" customHeight="1" x14ac:dyDescent="0.15">
      <c r="B64" s="520"/>
      <c r="C64" s="478"/>
      <c r="D64" s="525"/>
      <c r="E64" s="500"/>
      <c r="F64" s="500"/>
      <c r="G64" s="500"/>
      <c r="H64" s="500"/>
      <c r="I64" s="55"/>
    </row>
    <row r="65" spans="1:14" ht="15.95" customHeight="1" x14ac:dyDescent="0.15">
      <c r="A65" s="30"/>
      <c r="B65" s="487"/>
      <c r="C65" s="298" t="s">
        <v>176</v>
      </c>
      <c r="D65" s="176"/>
      <c r="E65" s="176"/>
      <c r="F65" s="313"/>
      <c r="G65" s="501"/>
      <c r="H65" s="502"/>
      <c r="I65" s="10"/>
      <c r="J65" s="9"/>
      <c r="K65" s="11"/>
      <c r="L65" s="14"/>
      <c r="M65" s="12"/>
      <c r="N65" s="12"/>
    </row>
    <row r="66" spans="1:14" ht="15.95" customHeight="1" x14ac:dyDescent="0.15">
      <c r="A66" s="30"/>
      <c r="B66" s="487"/>
      <c r="C66" s="526" t="s">
        <v>164</v>
      </c>
      <c r="D66" s="527" t="s">
        <v>197</v>
      </c>
      <c r="E66" s="503"/>
      <c r="F66" s="504"/>
      <c r="G66" s="505"/>
      <c r="H66" s="505"/>
      <c r="I66" s="10"/>
      <c r="J66" s="9"/>
      <c r="K66" s="13"/>
      <c r="L66" s="14"/>
      <c r="M66" s="12"/>
      <c r="N66" s="9"/>
    </row>
    <row r="67" spans="1:14" ht="15.95" customHeight="1" x14ac:dyDescent="0.15">
      <c r="A67" s="30"/>
      <c r="B67" s="487"/>
      <c r="C67" s="528" t="s">
        <v>171</v>
      </c>
      <c r="D67" s="527" t="s">
        <v>179</v>
      </c>
      <c r="E67" s="503"/>
      <c r="F67" s="504"/>
      <c r="G67" s="505"/>
      <c r="H67" s="505"/>
      <c r="I67" s="10"/>
      <c r="J67" s="9"/>
      <c r="K67" s="14"/>
      <c r="L67" s="14"/>
      <c r="M67" s="12"/>
      <c r="N67" s="11"/>
    </row>
    <row r="68" spans="1:14" ht="15.95" customHeight="1" x14ac:dyDescent="0.15">
      <c r="A68" s="30"/>
      <c r="B68" s="487"/>
      <c r="C68" s="529" t="s">
        <v>172</v>
      </c>
      <c r="D68" s="530" t="s">
        <v>177</v>
      </c>
      <c r="E68" s="302"/>
      <c r="F68" s="506"/>
      <c r="G68" s="505"/>
      <c r="H68" s="505"/>
      <c r="I68" s="10"/>
      <c r="J68" s="9"/>
      <c r="K68" s="15"/>
      <c r="L68" s="15"/>
      <c r="M68" s="16"/>
      <c r="N68" s="9"/>
    </row>
    <row r="69" spans="1:14" ht="15.95" customHeight="1" x14ac:dyDescent="0.15">
      <c r="A69" s="30"/>
      <c r="B69" s="487"/>
      <c r="C69" s="531" t="s">
        <v>173</v>
      </c>
      <c r="D69" s="530" t="s">
        <v>180</v>
      </c>
      <c r="E69" s="302"/>
      <c r="F69" s="506"/>
      <c r="G69" s="507"/>
      <c r="H69" s="505"/>
      <c r="I69" s="10"/>
      <c r="J69" s="9"/>
      <c r="K69" s="11"/>
      <c r="L69" s="14"/>
      <c r="M69" s="12"/>
      <c r="N69" s="11"/>
    </row>
    <row r="70" spans="1:14" ht="15.95" customHeight="1" x14ac:dyDescent="0.15">
      <c r="A70" s="30"/>
      <c r="B70" s="487"/>
      <c r="C70" s="319" t="s">
        <v>174</v>
      </c>
      <c r="D70" s="530" t="s">
        <v>178</v>
      </c>
      <c r="E70" s="302"/>
      <c r="F70" s="506"/>
      <c r="G70" s="508"/>
      <c r="H70" s="505"/>
      <c r="I70" s="17"/>
      <c r="J70" s="9"/>
      <c r="K70" s="11"/>
      <c r="L70" s="14"/>
      <c r="M70" s="12"/>
      <c r="N70" s="11"/>
    </row>
    <row r="71" spans="1:14" ht="15.95" customHeight="1" x14ac:dyDescent="0.15">
      <c r="A71" s="30"/>
      <c r="B71" s="487"/>
      <c r="C71" s="532" t="s">
        <v>175</v>
      </c>
      <c r="D71" s="533" t="s">
        <v>181</v>
      </c>
      <c r="E71" s="300"/>
      <c r="F71" s="509"/>
      <c r="G71" s="505"/>
      <c r="H71" s="505"/>
      <c r="I71" s="31"/>
      <c r="J71" s="9"/>
      <c r="K71" s="13"/>
      <c r="L71" s="14"/>
      <c r="M71" s="12"/>
      <c r="N71" s="12"/>
    </row>
    <row r="72" spans="1:14" ht="15.95" customHeight="1" x14ac:dyDescent="0.15">
      <c r="A72" s="30"/>
      <c r="B72" s="487"/>
      <c r="C72" s="302" t="s">
        <v>182</v>
      </c>
      <c r="D72" s="505"/>
      <c r="E72" s="505"/>
      <c r="F72" s="507"/>
      <c r="G72" s="505"/>
      <c r="H72" s="505"/>
      <c r="I72" s="31"/>
      <c r="J72" s="9"/>
      <c r="K72" s="14"/>
      <c r="L72" s="14"/>
      <c r="M72" s="12"/>
      <c r="N72" s="9"/>
    </row>
    <row r="73" spans="1:14" ht="15.95" customHeight="1" x14ac:dyDescent="0.15">
      <c r="A73" s="30"/>
      <c r="B73" s="487"/>
      <c r="C73" s="507" t="s">
        <v>183</v>
      </c>
      <c r="D73" s="505"/>
      <c r="E73" s="501"/>
      <c r="F73" s="510"/>
      <c r="G73" s="505"/>
      <c r="H73" s="505"/>
      <c r="I73" s="32"/>
      <c r="J73" s="9"/>
      <c r="K73" s="15"/>
      <c r="L73" s="15"/>
      <c r="M73" s="9"/>
      <c r="N73" s="9"/>
    </row>
    <row r="74" spans="1:14" ht="15.95" customHeight="1" x14ac:dyDescent="0.15">
      <c r="A74" s="30"/>
      <c r="B74" s="487"/>
      <c r="C74" s="507"/>
      <c r="D74" s="505"/>
      <c r="E74" s="505"/>
      <c r="F74" s="505"/>
      <c r="G74" s="505"/>
      <c r="H74" s="511"/>
      <c r="I74" s="10"/>
      <c r="J74" s="9"/>
      <c r="K74" s="15"/>
      <c r="L74" s="15"/>
      <c r="M74" s="9"/>
      <c r="N74" s="9"/>
    </row>
    <row r="75" spans="1:14" ht="15.95" customHeight="1" x14ac:dyDescent="0.15">
      <c r="A75" s="30"/>
      <c r="B75" s="302" t="s">
        <v>806</v>
      </c>
      <c r="C75" s="505"/>
      <c r="D75" s="501"/>
      <c r="E75" s="510"/>
      <c r="F75" s="505"/>
      <c r="G75" s="505"/>
      <c r="H75" s="505"/>
      <c r="I75" s="31"/>
      <c r="J75" s="9"/>
      <c r="K75" s="15"/>
      <c r="L75" s="15"/>
      <c r="M75" s="9"/>
      <c r="N75" s="9"/>
    </row>
    <row r="76" spans="1:14" ht="15.95" customHeight="1" x14ac:dyDescent="0.15">
      <c r="A76" s="30"/>
      <c r="B76" s="302"/>
      <c r="C76" s="194" t="s">
        <v>793</v>
      </c>
      <c r="D76" s="505"/>
      <c r="E76" s="512"/>
      <c r="F76" s="505"/>
      <c r="G76" s="505"/>
      <c r="H76" s="505"/>
      <c r="I76" s="31"/>
      <c r="J76" s="9"/>
      <c r="K76" s="15"/>
      <c r="L76" s="17"/>
      <c r="M76" s="18"/>
      <c r="N76" s="19"/>
    </row>
    <row r="77" spans="1:14" ht="15.95" customHeight="1" x14ac:dyDescent="0.15">
      <c r="A77" s="30"/>
      <c r="B77" s="302"/>
      <c r="C77" s="194" t="s">
        <v>794</v>
      </c>
      <c r="D77" s="534"/>
      <c r="E77" s="513"/>
      <c r="F77" s="505"/>
      <c r="G77" s="505"/>
      <c r="H77" s="511"/>
      <c r="I77" s="31"/>
      <c r="J77" s="9"/>
      <c r="K77" s="15"/>
      <c r="L77" s="17"/>
      <c r="M77" s="20"/>
      <c r="N77" s="20"/>
    </row>
    <row r="78" spans="1:14" ht="15.95" customHeight="1" x14ac:dyDescent="0.15">
      <c r="A78" s="30"/>
      <c r="B78" s="302"/>
      <c r="C78" s="194" t="s">
        <v>795</v>
      </c>
      <c r="D78" s="534"/>
      <c r="E78" s="513"/>
      <c r="F78" s="505"/>
      <c r="G78" s="505"/>
      <c r="H78" s="505"/>
      <c r="I78" s="31"/>
      <c r="J78" s="9"/>
      <c r="K78" s="15"/>
      <c r="L78" s="20"/>
      <c r="M78" s="21"/>
      <c r="N78" s="22"/>
    </row>
    <row r="79" spans="1:14" ht="15.95" customHeight="1" x14ac:dyDescent="0.15">
      <c r="A79" s="30"/>
      <c r="B79" s="302"/>
      <c r="C79" s="194" t="s">
        <v>796</v>
      </c>
      <c r="D79" s="505"/>
      <c r="E79" s="505"/>
      <c r="F79" s="505"/>
      <c r="G79" s="505"/>
      <c r="H79" s="511"/>
      <c r="I79" s="32"/>
      <c r="J79" s="9"/>
      <c r="K79" s="15"/>
      <c r="L79" s="20"/>
      <c r="M79" s="21"/>
      <c r="N79" s="22"/>
    </row>
    <row r="80" spans="1:14" ht="15.95" customHeight="1" x14ac:dyDescent="0.15">
      <c r="A80" s="30"/>
      <c r="B80" s="302"/>
      <c r="C80" s="194" t="s">
        <v>797</v>
      </c>
      <c r="D80" s="501"/>
      <c r="E80" s="505"/>
      <c r="F80" s="505"/>
      <c r="G80" s="505"/>
      <c r="H80" s="505"/>
      <c r="I80" s="31"/>
      <c r="J80" s="9"/>
      <c r="K80" s="15"/>
      <c r="L80" s="20"/>
      <c r="M80" s="21"/>
      <c r="N80" s="22"/>
    </row>
    <row r="81" spans="1:14" ht="15.95" customHeight="1" x14ac:dyDescent="0.15">
      <c r="A81" s="30"/>
      <c r="B81" s="302"/>
      <c r="C81" s="194" t="s">
        <v>798</v>
      </c>
      <c r="D81" s="505"/>
      <c r="E81" s="505"/>
      <c r="F81" s="505"/>
      <c r="G81" s="505"/>
      <c r="H81" s="505"/>
      <c r="I81" s="31"/>
      <c r="J81" s="9"/>
      <c r="K81" s="15"/>
      <c r="L81" s="20"/>
      <c r="M81" s="9"/>
      <c r="N81" s="9"/>
    </row>
    <row r="82" spans="1:14" ht="15.95" customHeight="1" x14ac:dyDescent="0.15">
      <c r="A82" s="30"/>
      <c r="B82" s="302"/>
      <c r="C82" s="194" t="s">
        <v>799</v>
      </c>
      <c r="D82" s="505"/>
      <c r="E82" s="501"/>
      <c r="F82" s="514"/>
      <c r="G82" s="505"/>
      <c r="H82" s="505"/>
      <c r="I82" s="10"/>
      <c r="J82" s="9"/>
      <c r="K82" s="15"/>
      <c r="L82" s="20"/>
      <c r="M82" s="20"/>
      <c r="N82" s="19"/>
    </row>
    <row r="83" spans="1:14" ht="15.95" customHeight="1" x14ac:dyDescent="0.15">
      <c r="A83" s="30"/>
      <c r="B83" s="302"/>
      <c r="C83" s="194" t="s">
        <v>800</v>
      </c>
      <c r="D83" s="505"/>
      <c r="E83" s="501"/>
      <c r="F83" s="514"/>
      <c r="G83" s="505"/>
      <c r="H83" s="505"/>
      <c r="I83" s="10"/>
      <c r="J83" s="9"/>
      <c r="K83" s="15"/>
      <c r="L83" s="20"/>
      <c r="M83" s="20"/>
      <c r="N83" s="20"/>
    </row>
    <row r="84" spans="1:14" ht="15.95" customHeight="1" x14ac:dyDescent="0.15">
      <c r="A84" s="30"/>
      <c r="B84" s="494"/>
      <c r="C84" s="194" t="s">
        <v>801</v>
      </c>
      <c r="D84" s="505"/>
      <c r="E84" s="505"/>
      <c r="F84" s="505"/>
      <c r="G84" s="505"/>
      <c r="H84" s="505"/>
      <c r="I84" s="10"/>
      <c r="J84" s="9"/>
      <c r="K84" s="15"/>
      <c r="L84" s="20"/>
      <c r="M84" s="21"/>
      <c r="N84" s="21"/>
    </row>
    <row r="85" spans="1:14" ht="15.95" customHeight="1" x14ac:dyDescent="0.15">
      <c r="A85" s="30"/>
      <c r="B85" s="302"/>
      <c r="C85" s="194" t="s">
        <v>802</v>
      </c>
      <c r="D85" s="505"/>
      <c r="E85" s="505"/>
      <c r="F85" s="505"/>
      <c r="G85" s="505"/>
      <c r="H85" s="505"/>
      <c r="I85" s="10"/>
      <c r="J85" s="9"/>
      <c r="K85" s="15"/>
      <c r="L85" s="20"/>
      <c r="M85" s="21"/>
      <c r="N85" s="21"/>
    </row>
    <row r="86" spans="1:14" ht="15.95" customHeight="1" x14ac:dyDescent="0.15">
      <c r="A86" s="30"/>
      <c r="B86" s="520"/>
      <c r="C86" s="194" t="s">
        <v>803</v>
      </c>
      <c r="D86" s="535"/>
      <c r="E86" s="302"/>
      <c r="F86" s="302"/>
      <c r="G86" s="505"/>
      <c r="H86" s="505"/>
      <c r="I86" s="10"/>
      <c r="J86" s="9"/>
      <c r="K86" s="20"/>
      <c r="L86" s="20"/>
      <c r="M86" s="11"/>
      <c r="N86" s="11"/>
    </row>
    <row r="87" spans="1:14" ht="15.95" customHeight="1" x14ac:dyDescent="0.15">
      <c r="A87" s="30"/>
      <c r="B87" s="302"/>
      <c r="C87" s="194" t="s">
        <v>804</v>
      </c>
      <c r="D87" s="536"/>
      <c r="E87" s="302"/>
      <c r="F87" s="302"/>
      <c r="G87" s="302"/>
      <c r="H87" s="494"/>
      <c r="I87" s="9"/>
      <c r="J87" s="9"/>
      <c r="K87" s="20"/>
      <c r="L87" s="15"/>
      <c r="M87" s="11"/>
      <c r="N87" s="11"/>
    </row>
    <row r="88" spans="1:14" ht="15.95" customHeight="1" x14ac:dyDescent="0.15">
      <c r="A88" s="30"/>
      <c r="B88" s="302"/>
      <c r="C88" s="302" t="s">
        <v>805</v>
      </c>
      <c r="D88" s="253"/>
      <c r="E88" s="253"/>
      <c r="F88" s="515"/>
      <c r="G88" s="516"/>
      <c r="H88" s="302"/>
      <c r="I88" s="9"/>
      <c r="J88" s="9"/>
      <c r="K88" s="11"/>
      <c r="L88" s="20"/>
      <c r="M88" s="11"/>
      <c r="N88" s="11"/>
    </row>
    <row r="89" spans="1:14" ht="15.95" customHeight="1" x14ac:dyDescent="0.15">
      <c r="A89" s="30"/>
      <c r="B89" s="517"/>
      <c r="C89" s="302"/>
      <c r="D89" s="494"/>
      <c r="E89" s="494"/>
      <c r="F89" s="494"/>
      <c r="G89" s="517"/>
      <c r="H89" s="302"/>
      <c r="I89" s="9"/>
      <c r="J89" s="9"/>
      <c r="K89" s="20"/>
      <c r="L89" s="20"/>
      <c r="M89" s="11"/>
      <c r="N89" s="11"/>
    </row>
    <row r="90" spans="1:14" ht="15.95" customHeight="1" x14ac:dyDescent="0.15">
      <c r="A90" s="30"/>
      <c r="B90" s="9"/>
      <c r="C90" s="9"/>
      <c r="D90" s="9"/>
      <c r="E90" s="9"/>
      <c r="F90" s="24"/>
      <c r="G90" s="25"/>
      <c r="H90" s="9"/>
      <c r="I90" s="9"/>
      <c r="J90" s="9"/>
      <c r="K90" s="20"/>
      <c r="L90" s="15"/>
      <c r="M90" s="11"/>
      <c r="N90" s="11"/>
    </row>
    <row r="91" spans="1:14" x14ac:dyDescent="0.15">
      <c r="A91" s="30"/>
      <c r="B91" s="9"/>
      <c r="C91" s="9"/>
      <c r="D91" s="9"/>
      <c r="E91" s="7"/>
      <c r="F91" s="7"/>
      <c r="G91" s="26"/>
      <c r="H91" s="9"/>
      <c r="I91" s="9"/>
      <c r="J91" s="9"/>
      <c r="K91" s="11"/>
      <c r="L91" s="20"/>
      <c r="M91" s="11"/>
      <c r="N91" s="11"/>
    </row>
    <row r="92" spans="1:14" x14ac:dyDescent="0.15">
      <c r="A92" s="30"/>
      <c r="B92" s="9"/>
      <c r="C92" s="9"/>
      <c r="D92" s="9"/>
      <c r="E92" s="9"/>
      <c r="F92" s="7"/>
      <c r="G92" s="27"/>
      <c r="H92" s="9"/>
      <c r="I92" s="9"/>
      <c r="J92" s="9"/>
      <c r="K92" s="20"/>
      <c r="L92" s="20"/>
      <c r="M92" s="11"/>
      <c r="N92" s="11"/>
    </row>
    <row r="93" spans="1:14" x14ac:dyDescent="0.15">
      <c r="A93" s="30"/>
      <c r="B93" s="9"/>
      <c r="C93" s="9"/>
      <c r="D93" s="9"/>
      <c r="E93" s="9"/>
      <c r="F93" s="9"/>
      <c r="G93" s="9"/>
      <c r="H93" s="9"/>
      <c r="I93" s="9"/>
      <c r="J93" s="9"/>
      <c r="K93" s="20"/>
      <c r="L93" s="15"/>
      <c r="M93" s="11"/>
      <c r="N93" s="11"/>
    </row>
    <row r="94" spans="1:14" x14ac:dyDescent="0.15">
      <c r="A94" s="30"/>
      <c r="B94" s="9"/>
      <c r="C94" s="9"/>
      <c r="D94" s="9"/>
      <c r="E94" s="9"/>
      <c r="F94" s="9"/>
      <c r="G94" s="9"/>
      <c r="H94" s="9"/>
      <c r="I94" s="9"/>
      <c r="J94" s="9"/>
      <c r="K94" s="11"/>
      <c r="L94" s="20"/>
      <c r="M94" s="11"/>
      <c r="N94" s="11"/>
    </row>
    <row r="95" spans="1:14" x14ac:dyDescent="0.15">
      <c r="A95" s="30"/>
      <c r="B95" s="9"/>
      <c r="C95" s="7"/>
      <c r="D95" s="10"/>
      <c r="E95" s="30"/>
      <c r="F95" s="28"/>
      <c r="G95" s="9"/>
      <c r="H95" s="9"/>
      <c r="I95" s="9"/>
      <c r="J95" s="9"/>
      <c r="K95" s="7"/>
      <c r="L95" s="20"/>
      <c r="M95" s="11"/>
      <c r="N95" s="11"/>
    </row>
    <row r="96" spans="1:14" x14ac:dyDescent="0.15">
      <c r="A96" s="30"/>
      <c r="B96" s="9"/>
      <c r="C96" s="7"/>
      <c r="D96" s="10"/>
      <c r="E96" s="30"/>
      <c r="F96" s="28"/>
      <c r="G96" s="9"/>
      <c r="H96" s="9"/>
      <c r="I96" s="9"/>
      <c r="J96" s="9"/>
      <c r="K96" s="7"/>
      <c r="L96" s="20"/>
      <c r="M96" s="11"/>
      <c r="N96" s="11"/>
    </row>
    <row r="97" spans="1:14" x14ac:dyDescent="0.15">
      <c r="A97" s="30"/>
      <c r="B97" s="9"/>
      <c r="C97" s="7"/>
      <c r="D97" s="10"/>
      <c r="E97" s="30"/>
      <c r="F97" s="28"/>
      <c r="G97" s="9"/>
      <c r="H97" s="9"/>
      <c r="I97" s="9"/>
      <c r="J97" s="9"/>
      <c r="K97" s="7"/>
      <c r="L97" s="20"/>
      <c r="M97" s="11"/>
      <c r="N97" s="11"/>
    </row>
    <row r="98" spans="1:14" x14ac:dyDescent="0.15">
      <c r="A98" s="30"/>
      <c r="B98" s="9"/>
      <c r="C98" s="9"/>
      <c r="D98" s="9"/>
      <c r="E98" s="9"/>
      <c r="F98" s="9"/>
      <c r="G98" s="9"/>
      <c r="H98" s="9"/>
      <c r="I98" s="9"/>
      <c r="J98" s="9"/>
      <c r="K98" s="7"/>
      <c r="L98" s="20"/>
      <c r="M98" s="11"/>
      <c r="N98" s="11"/>
    </row>
    <row r="99" spans="1:14" x14ac:dyDescent="0.15">
      <c r="A99" s="30"/>
      <c r="B99" s="9"/>
      <c r="C99" s="9"/>
      <c r="D99" s="9"/>
      <c r="E99" s="9"/>
      <c r="F99" s="9"/>
      <c r="G99" s="9"/>
      <c r="H99" s="9"/>
      <c r="I99" s="9"/>
      <c r="J99" s="9"/>
      <c r="K99" s="7"/>
      <c r="L99" s="20"/>
      <c r="M99" s="11"/>
      <c r="N99" s="11"/>
    </row>
    <row r="100" spans="1:14" x14ac:dyDescent="0.15">
      <c r="B100" s="23"/>
      <c r="C100" s="23"/>
      <c r="D100" s="23"/>
      <c r="E100" s="23"/>
      <c r="F100" s="23"/>
      <c r="G100" s="23"/>
      <c r="H100" s="23"/>
      <c r="I100" s="9"/>
      <c r="J100" s="9"/>
      <c r="K100" s="7"/>
      <c r="L100" s="20"/>
      <c r="M100" s="11"/>
      <c r="N100" s="11"/>
    </row>
    <row r="101" spans="1:14" x14ac:dyDescent="0.15">
      <c r="B101" s="23"/>
      <c r="C101" s="23"/>
      <c r="D101" s="23"/>
      <c r="E101" s="23"/>
      <c r="F101" s="23"/>
      <c r="G101" s="23"/>
      <c r="H101" s="23"/>
      <c r="I101" s="9"/>
      <c r="J101" s="9"/>
      <c r="K101" s="7"/>
      <c r="L101" s="20"/>
      <c r="M101" s="11"/>
      <c r="N101" s="11"/>
    </row>
    <row r="102" spans="1:14" x14ac:dyDescent="0.15">
      <c r="B102" s="23"/>
      <c r="C102" s="23"/>
      <c r="D102" s="23"/>
      <c r="E102" s="23"/>
      <c r="F102" s="23"/>
      <c r="G102" s="23"/>
      <c r="H102" s="23"/>
      <c r="I102" s="9"/>
      <c r="J102" s="9"/>
      <c r="K102" s="7"/>
      <c r="L102" s="20"/>
      <c r="M102" s="11"/>
      <c r="N102" s="11"/>
    </row>
    <row r="103" spans="1:14" x14ac:dyDescent="0.15">
      <c r="B103" s="23"/>
      <c r="C103" s="23"/>
      <c r="D103" s="23"/>
      <c r="E103" s="23"/>
      <c r="F103" s="23"/>
      <c r="G103" s="23"/>
      <c r="H103" s="23"/>
      <c r="I103" s="9"/>
      <c r="J103" s="9"/>
      <c r="K103" s="7"/>
      <c r="L103" s="20"/>
      <c r="M103" s="11"/>
      <c r="N103" s="11"/>
    </row>
    <row r="104" spans="1:14" x14ac:dyDescent="0.15">
      <c r="B104" s="23"/>
      <c r="C104" s="23"/>
      <c r="D104" s="23"/>
      <c r="E104" s="23"/>
      <c r="F104" s="23"/>
      <c r="G104" s="23"/>
      <c r="H104" s="23"/>
      <c r="I104" s="9"/>
      <c r="J104" s="9"/>
      <c r="K104" s="7"/>
      <c r="L104" s="20"/>
      <c r="M104" s="11"/>
      <c r="N104" s="11"/>
    </row>
    <row r="105" spans="1:14" x14ac:dyDescent="0.15">
      <c r="B105" s="23"/>
      <c r="C105" s="23"/>
      <c r="D105" s="23"/>
      <c r="E105" s="23"/>
      <c r="F105" s="23"/>
      <c r="G105" s="23"/>
      <c r="H105" s="23"/>
      <c r="I105" s="9"/>
      <c r="J105" s="9"/>
      <c r="K105" s="7"/>
      <c r="L105" s="20"/>
      <c r="M105" s="11"/>
      <c r="N105" s="11"/>
    </row>
    <row r="106" spans="1:14" x14ac:dyDescent="0.15">
      <c r="B106" s="23"/>
      <c r="C106" s="23"/>
      <c r="D106" s="23"/>
      <c r="E106" s="23"/>
      <c r="F106" s="23"/>
      <c r="G106" s="23"/>
      <c r="H106" s="23"/>
      <c r="I106" s="9"/>
      <c r="J106" s="9"/>
      <c r="K106" s="7"/>
      <c r="L106" s="20"/>
      <c r="M106" s="11"/>
      <c r="N106" s="11"/>
    </row>
    <row r="107" spans="1:14" x14ac:dyDescent="0.15">
      <c r="B107" s="23"/>
      <c r="C107" s="23"/>
      <c r="D107" s="23"/>
      <c r="E107" s="23"/>
      <c r="F107" s="23"/>
      <c r="G107" s="23"/>
      <c r="H107" s="23"/>
      <c r="I107" s="9"/>
      <c r="J107" s="9"/>
      <c r="K107" s="7"/>
      <c r="L107" s="20"/>
      <c r="M107" s="11"/>
      <c r="N107" s="11"/>
    </row>
    <row r="108" spans="1:14" x14ac:dyDescent="0.15">
      <c r="B108" s="23"/>
      <c r="C108" s="23"/>
      <c r="D108" s="23"/>
      <c r="E108" s="23"/>
      <c r="F108" s="23"/>
      <c r="G108" s="23"/>
      <c r="H108" s="23"/>
      <c r="I108" s="9"/>
      <c r="J108" s="9"/>
      <c r="K108" s="7"/>
      <c r="L108" s="20"/>
      <c r="M108" s="11"/>
      <c r="N108" s="11"/>
    </row>
    <row r="109" spans="1:14" x14ac:dyDescent="0.15">
      <c r="B109" s="23"/>
      <c r="C109" s="23"/>
      <c r="D109" s="23"/>
      <c r="E109" s="23"/>
      <c r="F109" s="23"/>
      <c r="G109" s="23"/>
      <c r="H109" s="23"/>
      <c r="I109" s="9"/>
      <c r="J109" s="9"/>
      <c r="K109" s="7"/>
      <c r="L109" s="20"/>
      <c r="M109" s="11"/>
      <c r="N109" s="11"/>
    </row>
    <row r="110" spans="1:14" x14ac:dyDescent="0.15">
      <c r="B110" s="23"/>
      <c r="C110" s="23"/>
      <c r="D110" s="23"/>
      <c r="E110" s="23"/>
      <c r="F110" s="23"/>
      <c r="G110" s="23"/>
      <c r="H110" s="23"/>
      <c r="I110" s="9"/>
      <c r="J110" s="9"/>
      <c r="K110" s="7"/>
      <c r="L110" s="20"/>
      <c r="M110" s="11"/>
      <c r="N110" s="11"/>
    </row>
    <row r="111" spans="1:14" x14ac:dyDescent="0.15">
      <c r="B111" s="23"/>
      <c r="C111" s="23"/>
      <c r="D111" s="23"/>
      <c r="E111" s="23"/>
      <c r="F111" s="23"/>
      <c r="G111" s="23"/>
      <c r="H111" s="23"/>
      <c r="I111" s="9"/>
      <c r="J111" s="9"/>
      <c r="K111" s="7"/>
      <c r="L111" s="20"/>
      <c r="M111" s="11"/>
      <c r="N111" s="11"/>
    </row>
    <row r="112" spans="1:14" x14ac:dyDescent="0.15">
      <c r="B112" s="23"/>
      <c r="C112" s="23"/>
      <c r="D112" s="23"/>
      <c r="E112" s="23"/>
      <c r="F112" s="23"/>
      <c r="G112" s="23"/>
      <c r="H112" s="23"/>
      <c r="I112" s="9"/>
      <c r="J112" s="9"/>
      <c r="K112" s="7"/>
      <c r="L112" s="20"/>
      <c r="M112" s="11"/>
      <c r="N112" s="11"/>
    </row>
    <row r="113" spans="2:14" x14ac:dyDescent="0.15">
      <c r="B113" s="23"/>
      <c r="C113" s="23"/>
      <c r="D113" s="23"/>
      <c r="E113" s="23"/>
      <c r="F113" s="23"/>
      <c r="G113" s="23"/>
      <c r="H113" s="23"/>
      <c r="I113" s="9"/>
      <c r="J113" s="9"/>
      <c r="K113" s="7"/>
      <c r="L113" s="20"/>
      <c r="M113" s="11"/>
      <c r="N113" s="11"/>
    </row>
    <row r="114" spans="2:14" x14ac:dyDescent="0.15">
      <c r="B114" s="23"/>
      <c r="C114" s="23"/>
      <c r="D114" s="23"/>
      <c r="E114" s="23"/>
      <c r="F114" s="23"/>
      <c r="G114" s="23"/>
      <c r="H114" s="23"/>
      <c r="I114" s="9"/>
      <c r="J114" s="9"/>
      <c r="K114" s="7"/>
      <c r="L114" s="20"/>
      <c r="M114" s="11"/>
      <c r="N114" s="11"/>
    </row>
    <row r="115" spans="2:14" x14ac:dyDescent="0.15">
      <c r="B115" s="23"/>
      <c r="C115" s="23"/>
      <c r="D115" s="23"/>
      <c r="E115" s="23"/>
      <c r="F115" s="23"/>
      <c r="G115" s="23"/>
      <c r="H115" s="23"/>
      <c r="I115" s="9"/>
      <c r="J115" s="9"/>
      <c r="K115" s="7"/>
      <c r="L115" s="20"/>
      <c r="M115" s="11"/>
      <c r="N115" s="11"/>
    </row>
    <row r="116" spans="2:14" x14ac:dyDescent="0.15">
      <c r="B116" s="23"/>
      <c r="C116" s="23"/>
      <c r="D116" s="23"/>
      <c r="E116" s="23"/>
      <c r="F116" s="23"/>
      <c r="G116" s="23"/>
      <c r="H116" s="23"/>
      <c r="I116" s="9"/>
      <c r="J116" s="9"/>
      <c r="K116" s="7"/>
      <c r="L116" s="20"/>
      <c r="M116" s="11"/>
      <c r="N116" s="11"/>
    </row>
    <row r="117" spans="2:14" x14ac:dyDescent="0.15">
      <c r="B117" s="23"/>
      <c r="C117" s="23"/>
      <c r="D117" s="23"/>
      <c r="E117" s="23"/>
      <c r="F117" s="23"/>
      <c r="G117" s="23"/>
      <c r="H117" s="23"/>
      <c r="I117" s="9"/>
      <c r="J117" s="9"/>
      <c r="K117" s="7"/>
      <c r="L117" s="20"/>
      <c r="M117" s="11"/>
      <c r="N117" s="11"/>
    </row>
    <row r="118" spans="2:14" x14ac:dyDescent="0.15">
      <c r="B118" s="23"/>
      <c r="C118" s="23"/>
      <c r="D118" s="23"/>
      <c r="E118" s="23"/>
      <c r="F118" s="23"/>
      <c r="G118" s="23"/>
      <c r="H118" s="23"/>
      <c r="I118" s="9"/>
      <c r="J118" s="9"/>
      <c r="K118" s="7"/>
      <c r="L118" s="20"/>
      <c r="M118" s="11"/>
      <c r="N118" s="11"/>
    </row>
    <row r="119" spans="2:14" x14ac:dyDescent="0.15">
      <c r="B119" s="23"/>
      <c r="C119" s="23"/>
      <c r="D119" s="23"/>
      <c r="E119" s="23"/>
      <c r="F119" s="23"/>
      <c r="G119" s="23"/>
      <c r="H119" s="23"/>
      <c r="I119" s="9"/>
      <c r="J119" s="9"/>
      <c r="K119" s="7"/>
      <c r="L119" s="20"/>
      <c r="M119" s="11"/>
      <c r="N119" s="11"/>
    </row>
    <row r="120" spans="2:14" x14ac:dyDescent="0.15">
      <c r="B120" s="23"/>
      <c r="C120" s="23"/>
      <c r="D120" s="23"/>
      <c r="E120" s="23"/>
      <c r="F120" s="23"/>
      <c r="G120" s="23"/>
      <c r="H120" s="23"/>
      <c r="I120" s="9"/>
      <c r="J120" s="9"/>
      <c r="K120" s="7"/>
      <c r="L120" s="20"/>
      <c r="M120" s="11"/>
      <c r="N120" s="11"/>
    </row>
    <row r="121" spans="2:14" x14ac:dyDescent="0.15">
      <c r="B121" s="23"/>
      <c r="C121" s="23"/>
      <c r="D121" s="23"/>
      <c r="E121" s="23"/>
      <c r="F121" s="23"/>
      <c r="G121" s="23"/>
      <c r="H121" s="23"/>
      <c r="I121" s="9"/>
      <c r="J121" s="9"/>
      <c r="K121" s="7"/>
      <c r="L121" s="20"/>
      <c r="M121" s="11"/>
      <c r="N121" s="11"/>
    </row>
    <row r="122" spans="2:14" x14ac:dyDescent="0.15">
      <c r="B122" s="23"/>
      <c r="C122" s="23"/>
      <c r="D122" s="23"/>
      <c r="E122" s="23"/>
      <c r="F122" s="23"/>
      <c r="G122" s="23"/>
      <c r="H122" s="23"/>
      <c r="I122" s="9"/>
      <c r="J122" s="9"/>
      <c r="K122" s="7"/>
      <c r="L122" s="20"/>
      <c r="M122" s="11"/>
      <c r="N122" s="11"/>
    </row>
    <row r="123" spans="2:14" x14ac:dyDescent="0.15">
      <c r="B123" s="23"/>
      <c r="C123" s="23"/>
      <c r="D123" s="23"/>
      <c r="E123" s="23"/>
      <c r="F123" s="23"/>
      <c r="G123" s="23"/>
      <c r="H123" s="23"/>
      <c r="I123" s="9"/>
      <c r="J123" s="9"/>
      <c r="K123" s="7"/>
      <c r="L123" s="20"/>
      <c r="M123" s="11"/>
      <c r="N123" s="11"/>
    </row>
    <row r="124" spans="2:14" x14ac:dyDescent="0.15">
      <c r="B124" s="23"/>
      <c r="C124" s="23"/>
      <c r="D124" s="23"/>
      <c r="E124" s="23"/>
      <c r="F124" s="23"/>
      <c r="G124" s="23"/>
      <c r="H124" s="23"/>
      <c r="I124" s="9"/>
      <c r="J124" s="9"/>
      <c r="K124" s="7"/>
      <c r="L124" s="20"/>
      <c r="M124" s="11"/>
      <c r="N124" s="11"/>
    </row>
    <row r="125" spans="2:14" x14ac:dyDescent="0.15">
      <c r="B125" s="23"/>
      <c r="C125" s="23"/>
      <c r="D125" s="23"/>
      <c r="E125" s="23"/>
      <c r="F125" s="23"/>
      <c r="G125" s="23"/>
      <c r="H125" s="23"/>
      <c r="I125" s="9"/>
      <c r="J125" s="9"/>
      <c r="K125" s="7"/>
      <c r="L125" s="20"/>
      <c r="M125" s="11"/>
      <c r="N125" s="11"/>
    </row>
    <row r="126" spans="2:14" x14ac:dyDescent="0.15">
      <c r="B126" s="23"/>
      <c r="C126" s="23"/>
      <c r="D126" s="23"/>
      <c r="E126" s="23"/>
      <c r="F126" s="23"/>
      <c r="G126" s="23"/>
      <c r="H126" s="23"/>
      <c r="I126" s="9"/>
      <c r="J126" s="9"/>
      <c r="K126" s="7"/>
      <c r="L126" s="20"/>
      <c r="M126" s="11"/>
      <c r="N126" s="11"/>
    </row>
    <row r="127" spans="2:14" x14ac:dyDescent="0.15">
      <c r="B127" s="23"/>
      <c r="C127" s="23"/>
      <c r="D127" s="23"/>
      <c r="E127" s="23"/>
      <c r="F127" s="23"/>
      <c r="G127" s="23"/>
      <c r="H127" s="23"/>
      <c r="I127" s="9"/>
      <c r="J127" s="9"/>
      <c r="K127" s="7"/>
      <c r="L127" s="20"/>
      <c r="M127" s="11"/>
      <c r="N127" s="11"/>
    </row>
    <row r="128" spans="2:14" x14ac:dyDescent="0.15">
      <c r="B128" s="23"/>
      <c r="C128" s="23"/>
      <c r="D128" s="23"/>
      <c r="E128" s="23"/>
      <c r="F128" s="23"/>
      <c r="G128" s="23"/>
      <c r="H128" s="23"/>
      <c r="I128" s="9"/>
      <c r="J128" s="9"/>
      <c r="K128" s="7"/>
      <c r="L128" s="20"/>
      <c r="M128" s="11"/>
      <c r="N128" s="11"/>
    </row>
    <row r="129" spans="2:14" x14ac:dyDescent="0.15">
      <c r="B129" s="23"/>
      <c r="C129" s="23"/>
      <c r="D129" s="23"/>
      <c r="E129" s="23"/>
      <c r="F129" s="23"/>
      <c r="G129" s="23"/>
      <c r="H129" s="23"/>
      <c r="I129" s="9"/>
      <c r="J129" s="9"/>
      <c r="K129" s="7"/>
      <c r="L129" s="20"/>
      <c r="M129" s="11"/>
      <c r="N129" s="11"/>
    </row>
    <row r="130" spans="2:14" x14ac:dyDescent="0.15">
      <c r="B130" s="23"/>
      <c r="C130" s="23"/>
      <c r="D130" s="23"/>
      <c r="E130" s="23"/>
      <c r="F130" s="23"/>
      <c r="G130" s="23"/>
      <c r="H130" s="23"/>
      <c r="I130" s="9"/>
      <c r="J130" s="9"/>
      <c r="K130" s="7"/>
      <c r="L130" s="20"/>
      <c r="M130" s="11"/>
      <c r="N130" s="11"/>
    </row>
    <row r="131" spans="2:14" x14ac:dyDescent="0.15">
      <c r="B131" s="23"/>
      <c r="C131" s="23"/>
      <c r="D131" s="23"/>
      <c r="E131" s="23"/>
      <c r="F131" s="23"/>
      <c r="G131" s="23"/>
      <c r="H131" s="23"/>
      <c r="I131" s="9"/>
      <c r="J131" s="9"/>
      <c r="K131" s="7"/>
      <c r="L131" s="20"/>
      <c r="M131" s="11"/>
      <c r="N131" s="11"/>
    </row>
    <row r="132" spans="2:14" x14ac:dyDescent="0.15">
      <c r="B132" s="23"/>
      <c r="C132" s="23"/>
      <c r="D132" s="23"/>
      <c r="E132" s="23"/>
      <c r="F132" s="23"/>
      <c r="G132" s="23"/>
      <c r="H132" s="23"/>
      <c r="I132" s="9"/>
      <c r="J132" s="9"/>
      <c r="K132" s="7"/>
      <c r="L132" s="20"/>
      <c r="M132" s="11"/>
      <c r="N132" s="11"/>
    </row>
    <row r="133" spans="2:14" x14ac:dyDescent="0.15">
      <c r="B133" s="23"/>
      <c r="C133" s="23"/>
      <c r="D133" s="23"/>
      <c r="E133" s="23"/>
      <c r="F133" s="23"/>
      <c r="G133" s="23"/>
      <c r="H133" s="23"/>
      <c r="I133" s="9"/>
      <c r="J133" s="9"/>
      <c r="K133" s="7"/>
      <c r="L133" s="20"/>
      <c r="M133" s="11"/>
      <c r="N133" s="11"/>
    </row>
    <row r="134" spans="2:14" x14ac:dyDescent="0.15">
      <c r="B134" s="23"/>
      <c r="C134" s="23"/>
      <c r="D134" s="23"/>
      <c r="E134" s="23"/>
      <c r="F134" s="23"/>
      <c r="G134" s="23"/>
      <c r="H134" s="23"/>
      <c r="I134" s="9"/>
      <c r="J134" s="9"/>
      <c r="K134" s="7"/>
      <c r="L134" s="20"/>
      <c r="M134" s="11"/>
      <c r="N134" s="11"/>
    </row>
    <row r="135" spans="2:14" x14ac:dyDescent="0.15">
      <c r="B135" s="23"/>
      <c r="C135" s="23"/>
      <c r="D135" s="23"/>
      <c r="E135" s="23"/>
      <c r="F135" s="23"/>
      <c r="G135" s="23"/>
      <c r="H135" s="23"/>
      <c r="I135" s="9"/>
      <c r="J135" s="9"/>
      <c r="K135" s="7"/>
      <c r="L135" s="20"/>
      <c r="M135" s="11"/>
      <c r="N135" s="11"/>
    </row>
    <row r="136" spans="2:14" x14ac:dyDescent="0.15">
      <c r="B136" s="23"/>
      <c r="C136" s="23"/>
      <c r="D136" s="23"/>
      <c r="E136" s="23"/>
      <c r="F136" s="23"/>
      <c r="G136" s="23"/>
      <c r="H136" s="23"/>
      <c r="I136" s="9"/>
      <c r="J136" s="9"/>
      <c r="K136" s="7"/>
      <c r="L136" s="20"/>
      <c r="M136" s="11"/>
      <c r="N136" s="11"/>
    </row>
    <row r="137" spans="2:14" x14ac:dyDescent="0.15">
      <c r="B137" s="23"/>
      <c r="C137" s="23"/>
      <c r="D137" s="23"/>
      <c r="E137" s="23"/>
      <c r="F137" s="23"/>
      <c r="G137" s="23"/>
      <c r="H137" s="23"/>
      <c r="I137" s="9"/>
      <c r="J137" s="9"/>
      <c r="K137" s="7"/>
      <c r="L137" s="20"/>
      <c r="M137" s="11"/>
      <c r="N137" s="11"/>
    </row>
    <row r="138" spans="2:14" x14ac:dyDescent="0.15">
      <c r="B138" s="23"/>
      <c r="C138" s="23"/>
      <c r="D138" s="23"/>
      <c r="E138" s="23"/>
      <c r="F138" s="23"/>
      <c r="G138" s="23"/>
      <c r="H138" s="23"/>
      <c r="I138" s="9"/>
      <c r="J138" s="9"/>
      <c r="K138" s="7"/>
      <c r="L138" s="20"/>
      <c r="M138" s="11"/>
      <c r="N138" s="11"/>
    </row>
    <row r="139" spans="2:14" x14ac:dyDescent="0.15">
      <c r="B139" s="23"/>
      <c r="C139" s="23"/>
      <c r="D139" s="23"/>
      <c r="E139" s="23"/>
      <c r="F139" s="23"/>
      <c r="G139" s="23"/>
      <c r="H139" s="23"/>
      <c r="I139" s="9"/>
      <c r="J139" s="9"/>
      <c r="K139" s="7"/>
      <c r="L139" s="20"/>
      <c r="M139" s="11"/>
      <c r="N139" s="11"/>
    </row>
    <row r="140" spans="2:14" x14ac:dyDescent="0.15">
      <c r="B140" s="23"/>
      <c r="C140" s="23"/>
      <c r="D140" s="23"/>
      <c r="E140" s="23"/>
      <c r="F140" s="23"/>
      <c r="G140" s="23"/>
      <c r="H140" s="23"/>
      <c r="I140" s="9"/>
      <c r="J140" s="9"/>
      <c r="K140" s="7"/>
      <c r="L140" s="20"/>
      <c r="M140" s="11"/>
      <c r="N140" s="11"/>
    </row>
    <row r="141" spans="2:14" x14ac:dyDescent="0.15">
      <c r="B141" s="23"/>
      <c r="C141" s="23"/>
      <c r="D141" s="23"/>
      <c r="E141" s="23"/>
      <c r="F141" s="23"/>
      <c r="G141" s="23"/>
      <c r="H141" s="23"/>
      <c r="I141" s="9"/>
      <c r="J141" s="9"/>
      <c r="K141" s="7"/>
      <c r="L141" s="20"/>
      <c r="M141" s="11"/>
      <c r="N141" s="11"/>
    </row>
    <row r="142" spans="2:14" x14ac:dyDescent="0.15">
      <c r="B142" s="23"/>
      <c r="C142" s="23"/>
      <c r="D142" s="23"/>
      <c r="E142" s="23"/>
      <c r="F142" s="23"/>
      <c r="G142" s="23"/>
      <c r="H142" s="23"/>
      <c r="I142" s="9"/>
      <c r="J142" s="9"/>
      <c r="K142" s="7"/>
      <c r="L142" s="20"/>
      <c r="M142" s="11"/>
      <c r="N142" s="11"/>
    </row>
    <row r="143" spans="2:14" x14ac:dyDescent="0.15">
      <c r="B143" s="23"/>
      <c r="C143" s="23"/>
      <c r="D143" s="23"/>
      <c r="E143" s="23"/>
      <c r="F143" s="23"/>
      <c r="G143" s="23"/>
      <c r="H143" s="23"/>
      <c r="I143" s="9"/>
      <c r="J143" s="9"/>
      <c r="K143" s="7"/>
      <c r="L143" s="20"/>
      <c r="M143" s="11"/>
      <c r="N143" s="11"/>
    </row>
    <row r="144" spans="2:14" x14ac:dyDescent="0.15">
      <c r="B144" s="23"/>
      <c r="C144" s="23"/>
      <c r="D144" s="23"/>
      <c r="E144" s="23"/>
      <c r="F144" s="23"/>
      <c r="G144" s="23"/>
      <c r="H144" s="23"/>
      <c r="I144" s="9"/>
      <c r="J144" s="9"/>
      <c r="K144" s="7"/>
      <c r="L144" s="20"/>
      <c r="M144" s="11"/>
      <c r="N144" s="11"/>
    </row>
    <row r="145" spans="2:14" x14ac:dyDescent="0.15">
      <c r="B145" s="23"/>
      <c r="C145" s="23"/>
      <c r="D145" s="23"/>
      <c r="E145" s="23"/>
      <c r="F145" s="23"/>
      <c r="G145" s="23"/>
      <c r="H145" s="23"/>
      <c r="I145" s="9"/>
      <c r="J145" s="9"/>
      <c r="K145" s="7"/>
      <c r="L145" s="20"/>
      <c r="M145" s="11"/>
      <c r="N145" s="11"/>
    </row>
    <row r="146" spans="2:14" x14ac:dyDescent="0.15">
      <c r="B146" s="23"/>
      <c r="C146" s="23"/>
      <c r="D146" s="23"/>
      <c r="E146" s="23"/>
      <c r="F146" s="23"/>
      <c r="G146" s="23"/>
      <c r="H146" s="23"/>
      <c r="I146" s="9"/>
      <c r="J146" s="9"/>
      <c r="K146" s="7"/>
      <c r="L146" s="20"/>
      <c r="M146" s="11"/>
      <c r="N146" s="11"/>
    </row>
    <row r="147" spans="2:14" x14ac:dyDescent="0.15">
      <c r="B147" s="23"/>
      <c r="C147" s="23"/>
      <c r="D147" s="23"/>
      <c r="E147" s="23"/>
      <c r="F147" s="23"/>
      <c r="G147" s="23"/>
      <c r="H147" s="23"/>
      <c r="I147" s="9"/>
      <c r="J147" s="9"/>
      <c r="K147" s="7"/>
      <c r="L147" s="20"/>
      <c r="M147" s="11"/>
      <c r="N147" s="11"/>
    </row>
    <row r="148" spans="2:14" x14ac:dyDescent="0.15">
      <c r="B148" s="23"/>
      <c r="C148" s="23"/>
      <c r="D148" s="23"/>
      <c r="E148" s="23"/>
      <c r="F148" s="23"/>
      <c r="G148" s="23"/>
      <c r="H148" s="23"/>
      <c r="I148" s="9"/>
      <c r="J148" s="9"/>
      <c r="K148" s="7"/>
      <c r="L148" s="20"/>
      <c r="M148" s="11"/>
      <c r="N148" s="11"/>
    </row>
    <row r="149" spans="2:14" x14ac:dyDescent="0.15">
      <c r="B149" s="23"/>
      <c r="C149" s="23"/>
      <c r="D149" s="23"/>
      <c r="E149" s="23"/>
      <c r="F149" s="23"/>
      <c r="G149" s="23"/>
      <c r="H149" s="23"/>
      <c r="I149" s="9"/>
      <c r="J149" s="9"/>
      <c r="K149" s="7"/>
      <c r="L149" s="20"/>
      <c r="M149" s="11"/>
      <c r="N149" s="11"/>
    </row>
    <row r="150" spans="2:14" x14ac:dyDescent="0.15">
      <c r="B150" s="23"/>
      <c r="C150" s="23"/>
      <c r="D150" s="23"/>
      <c r="E150" s="23"/>
      <c r="F150" s="23"/>
      <c r="G150" s="23"/>
      <c r="H150" s="23"/>
      <c r="I150" s="9"/>
      <c r="J150" s="9"/>
      <c r="K150" s="7"/>
      <c r="L150" s="20"/>
      <c r="M150" s="11"/>
      <c r="N150" s="11"/>
    </row>
    <row r="151" spans="2:14" x14ac:dyDescent="0.15">
      <c r="B151" s="23"/>
      <c r="C151" s="23"/>
      <c r="D151" s="23"/>
      <c r="E151" s="23"/>
      <c r="F151" s="23"/>
      <c r="G151" s="23"/>
      <c r="H151" s="23"/>
      <c r="I151" s="9"/>
      <c r="J151" s="9"/>
      <c r="K151" s="7"/>
      <c r="L151" s="20"/>
      <c r="M151" s="11"/>
      <c r="N151" s="11"/>
    </row>
    <row r="152" spans="2:14" x14ac:dyDescent="0.15">
      <c r="B152" s="23"/>
      <c r="C152" s="23"/>
      <c r="D152" s="23"/>
      <c r="E152" s="23"/>
      <c r="F152" s="23"/>
      <c r="G152" s="23"/>
      <c r="H152" s="23"/>
      <c r="I152" s="9"/>
      <c r="J152" s="9"/>
      <c r="K152" s="7"/>
      <c r="L152" s="20"/>
      <c r="M152" s="11"/>
      <c r="N152" s="11"/>
    </row>
    <row r="153" spans="2:14" x14ac:dyDescent="0.15">
      <c r="B153" s="23"/>
      <c r="C153" s="23"/>
      <c r="D153" s="23"/>
      <c r="E153" s="23"/>
      <c r="F153" s="23"/>
      <c r="G153" s="23"/>
      <c r="H153" s="23"/>
      <c r="I153" s="9"/>
      <c r="J153" s="9"/>
      <c r="K153" s="7"/>
      <c r="L153" s="20"/>
      <c r="M153" s="11"/>
      <c r="N153" s="11"/>
    </row>
    <row r="154" spans="2:14" x14ac:dyDescent="0.15">
      <c r="B154" s="23"/>
      <c r="C154" s="23"/>
      <c r="D154" s="23"/>
      <c r="E154" s="23"/>
      <c r="F154" s="23"/>
      <c r="G154" s="23"/>
      <c r="H154" s="23"/>
      <c r="I154" s="9"/>
      <c r="J154" s="9"/>
      <c r="K154" s="7"/>
      <c r="L154" s="20"/>
      <c r="M154" s="11"/>
      <c r="N154" s="11"/>
    </row>
    <row r="155" spans="2:14" x14ac:dyDescent="0.15">
      <c r="B155" s="23"/>
      <c r="C155" s="23"/>
      <c r="D155" s="23"/>
      <c r="E155" s="23"/>
      <c r="F155" s="23"/>
      <c r="G155" s="23"/>
      <c r="H155" s="23"/>
      <c r="I155" s="9"/>
      <c r="J155" s="9"/>
      <c r="K155" s="15"/>
      <c r="L155" s="15"/>
      <c r="M155" s="11"/>
      <c r="N155" s="11"/>
    </row>
    <row r="156" spans="2:14" x14ac:dyDescent="0.15">
      <c r="B156" s="23"/>
      <c r="C156" s="23"/>
      <c r="D156" s="23"/>
      <c r="E156" s="23"/>
      <c r="F156" s="23"/>
      <c r="G156" s="23"/>
      <c r="H156" s="23"/>
      <c r="I156" s="9"/>
      <c r="J156" s="9"/>
      <c r="K156" s="9"/>
      <c r="L156" s="20"/>
      <c r="M156" s="11"/>
      <c r="N156" s="11"/>
    </row>
    <row r="157" spans="2:14" x14ac:dyDescent="0.15">
      <c r="B157" s="23"/>
      <c r="C157" s="23"/>
      <c r="D157" s="23"/>
      <c r="E157" s="23"/>
      <c r="F157" s="23"/>
      <c r="G157" s="23"/>
      <c r="H157" s="23"/>
      <c r="I157" s="23"/>
      <c r="J157" s="9"/>
      <c r="K157" s="9"/>
      <c r="L157" s="9"/>
      <c r="M157" s="9"/>
      <c r="N157" s="9"/>
    </row>
    <row r="158" spans="2:14" x14ac:dyDescent="0.15">
      <c r="B158" s="23"/>
      <c r="C158" s="23"/>
      <c r="D158" s="23"/>
      <c r="E158" s="23"/>
      <c r="F158" s="23"/>
      <c r="G158" s="23"/>
      <c r="H158" s="23"/>
      <c r="I158" s="23"/>
      <c r="J158" s="23"/>
      <c r="K158" s="23"/>
      <c r="L158" s="23"/>
      <c r="M158" s="23"/>
      <c r="N158" s="23"/>
    </row>
    <row r="159" spans="2:14" x14ac:dyDescent="0.15">
      <c r="B159" s="23"/>
      <c r="C159" s="23"/>
      <c r="D159" s="23"/>
      <c r="E159" s="23"/>
      <c r="F159" s="23"/>
      <c r="G159" s="23"/>
      <c r="H159" s="23"/>
      <c r="I159" s="23"/>
      <c r="J159" s="23"/>
      <c r="K159" s="23"/>
      <c r="L159" s="23"/>
      <c r="M159" s="23"/>
      <c r="N159" s="23"/>
    </row>
    <row r="160" spans="2:14" x14ac:dyDescent="0.15">
      <c r="B160" s="23"/>
      <c r="C160" s="23"/>
      <c r="D160" s="23"/>
      <c r="E160" s="23"/>
      <c r="F160" s="23"/>
      <c r="G160" s="23"/>
      <c r="H160" s="23"/>
      <c r="I160" s="23"/>
      <c r="J160" s="23"/>
      <c r="K160" s="23"/>
      <c r="L160" s="23"/>
      <c r="M160" s="23"/>
      <c r="N160" s="23"/>
    </row>
    <row r="161" spans="2:14" x14ac:dyDescent="0.15">
      <c r="B161" s="23"/>
      <c r="C161" s="23"/>
      <c r="D161" s="23"/>
      <c r="E161" s="23"/>
      <c r="F161" s="23"/>
      <c r="G161" s="23"/>
      <c r="H161" s="23"/>
      <c r="I161" s="23"/>
      <c r="J161" s="23"/>
      <c r="K161" s="23"/>
      <c r="L161" s="23"/>
      <c r="M161" s="23"/>
      <c r="N161" s="23"/>
    </row>
    <row r="162" spans="2:14" x14ac:dyDescent="0.15">
      <c r="B162" s="3"/>
      <c r="C162" s="3"/>
      <c r="D162" s="3"/>
      <c r="E162" s="3"/>
      <c r="F162" s="3"/>
      <c r="G162" s="3"/>
      <c r="H162" s="3"/>
      <c r="I162" s="3"/>
      <c r="J162" s="3"/>
      <c r="K162" s="3"/>
      <c r="L162" s="3"/>
      <c r="M162" s="3"/>
      <c r="N162" s="3"/>
    </row>
    <row r="163" spans="2:14" x14ac:dyDescent="0.15">
      <c r="B163" s="3"/>
      <c r="C163" s="3"/>
      <c r="D163" s="3"/>
      <c r="E163" s="3"/>
      <c r="F163" s="3"/>
      <c r="G163" s="3"/>
      <c r="H163" s="3"/>
      <c r="I163" s="3"/>
      <c r="J163" s="3"/>
      <c r="K163" s="3"/>
      <c r="L163" s="3"/>
      <c r="M163" s="3"/>
      <c r="N163" s="3"/>
    </row>
    <row r="164" spans="2:14" x14ac:dyDescent="0.15">
      <c r="B164" s="3"/>
      <c r="C164" s="3"/>
      <c r="D164" s="3"/>
      <c r="E164" s="3"/>
      <c r="F164" s="3"/>
      <c r="G164" s="3"/>
      <c r="H164" s="3"/>
      <c r="I164" s="3"/>
      <c r="J164" s="3"/>
      <c r="K164" s="3"/>
      <c r="L164" s="3"/>
      <c r="M164" s="3"/>
      <c r="N164" s="3"/>
    </row>
    <row r="165" spans="2:14" x14ac:dyDescent="0.15">
      <c r="B165" s="3"/>
      <c r="C165" s="3"/>
      <c r="D165" s="3"/>
      <c r="E165" s="3"/>
      <c r="F165" s="3"/>
      <c r="G165" s="3"/>
      <c r="H165" s="3"/>
      <c r="I165" s="3"/>
      <c r="J165" s="3"/>
      <c r="K165" s="3"/>
      <c r="L165" s="3"/>
      <c r="M165" s="3"/>
      <c r="N165" s="3"/>
    </row>
    <row r="166" spans="2:14" x14ac:dyDescent="0.15">
      <c r="B166" s="3"/>
      <c r="C166" s="3"/>
      <c r="D166" s="3"/>
      <c r="E166" s="3"/>
      <c r="F166" s="3"/>
      <c r="G166" s="3"/>
      <c r="H166" s="3"/>
      <c r="I166" s="3"/>
      <c r="J166" s="3"/>
      <c r="K166" s="3"/>
      <c r="L166" s="3"/>
      <c r="M166" s="3"/>
      <c r="N166" s="3"/>
    </row>
    <row r="167" spans="2:14" x14ac:dyDescent="0.15">
      <c r="B167" s="3"/>
      <c r="C167" s="3"/>
      <c r="D167" s="3"/>
      <c r="E167" s="3"/>
      <c r="F167" s="3"/>
      <c r="G167" s="3"/>
      <c r="H167" s="3"/>
      <c r="I167" s="3"/>
      <c r="J167" s="3"/>
      <c r="K167" s="3"/>
      <c r="L167" s="3"/>
      <c r="M167" s="3"/>
      <c r="N167" s="3"/>
    </row>
    <row r="168" spans="2:14" x14ac:dyDescent="0.15">
      <c r="B168" s="3"/>
      <c r="C168" s="3"/>
      <c r="D168" s="3"/>
      <c r="E168" s="3"/>
      <c r="F168" s="3"/>
      <c r="G168" s="3"/>
      <c r="H168" s="3"/>
      <c r="I168" s="3"/>
      <c r="J168" s="3"/>
      <c r="K168" s="3"/>
      <c r="L168" s="3"/>
      <c r="M168" s="3"/>
      <c r="N168" s="3"/>
    </row>
    <row r="169" spans="2:14" x14ac:dyDescent="0.15">
      <c r="B169" s="3"/>
      <c r="C169" s="3"/>
      <c r="D169" s="3"/>
      <c r="E169" s="3"/>
      <c r="F169" s="3"/>
      <c r="G169" s="3"/>
      <c r="H169" s="3"/>
      <c r="I169" s="3"/>
      <c r="J169" s="3"/>
      <c r="K169" s="3"/>
      <c r="L169" s="3"/>
      <c r="M169" s="3"/>
      <c r="N169" s="3"/>
    </row>
    <row r="170" spans="2:14" x14ac:dyDescent="0.15">
      <c r="B170" s="3"/>
      <c r="C170" s="3"/>
      <c r="D170" s="3"/>
      <c r="E170" s="3"/>
      <c r="F170" s="3"/>
      <c r="G170" s="3"/>
      <c r="H170" s="3"/>
      <c r="I170" s="3"/>
      <c r="J170" s="3"/>
      <c r="K170" s="3"/>
      <c r="L170" s="3"/>
      <c r="M170" s="3"/>
      <c r="N170" s="3"/>
    </row>
    <row r="171" spans="2:14" x14ac:dyDescent="0.15">
      <c r="B171" s="3"/>
      <c r="C171" s="3"/>
      <c r="D171" s="3"/>
      <c r="E171" s="3"/>
      <c r="F171" s="3"/>
      <c r="G171" s="3"/>
      <c r="H171" s="3"/>
      <c r="I171" s="3"/>
      <c r="J171" s="3"/>
      <c r="K171" s="3"/>
      <c r="L171" s="3"/>
      <c r="M171" s="3"/>
      <c r="N171" s="3"/>
    </row>
    <row r="172" spans="2:14" x14ac:dyDescent="0.15">
      <c r="B172" s="3"/>
      <c r="C172" s="3"/>
      <c r="D172" s="3"/>
      <c r="E172" s="3"/>
      <c r="F172" s="3"/>
      <c r="G172" s="3"/>
      <c r="H172" s="3"/>
      <c r="I172" s="3"/>
      <c r="J172" s="3"/>
      <c r="K172" s="3"/>
      <c r="L172" s="3"/>
      <c r="M172" s="3"/>
      <c r="N172" s="3"/>
    </row>
    <row r="173" spans="2:14" x14ac:dyDescent="0.15">
      <c r="B173" s="3"/>
      <c r="C173" s="3"/>
      <c r="D173" s="3"/>
      <c r="E173" s="3"/>
      <c r="F173" s="3"/>
      <c r="G173" s="3"/>
      <c r="H173" s="3"/>
      <c r="I173" s="3"/>
      <c r="J173" s="3"/>
      <c r="K173" s="3"/>
      <c r="L173" s="3"/>
      <c r="M173" s="3"/>
      <c r="N173" s="3"/>
    </row>
    <row r="174" spans="2:14" x14ac:dyDescent="0.15">
      <c r="B174" s="3"/>
      <c r="C174" s="3"/>
      <c r="D174" s="3"/>
      <c r="E174" s="3"/>
      <c r="F174" s="3"/>
      <c r="G174" s="3"/>
      <c r="H174" s="3"/>
      <c r="I174" s="3"/>
      <c r="J174" s="3"/>
      <c r="K174" s="3"/>
      <c r="L174" s="3"/>
      <c r="M174" s="3"/>
      <c r="N174" s="3"/>
    </row>
    <row r="175" spans="2:14" x14ac:dyDescent="0.15">
      <c r="B175" s="3"/>
      <c r="C175" s="3"/>
      <c r="D175" s="3"/>
      <c r="E175" s="3"/>
      <c r="F175" s="3"/>
      <c r="G175" s="3"/>
      <c r="H175" s="3"/>
      <c r="I175" s="3"/>
      <c r="J175" s="3"/>
      <c r="K175" s="3"/>
      <c r="L175" s="3"/>
      <c r="M175" s="3"/>
      <c r="N175" s="3"/>
    </row>
    <row r="176" spans="2:14" x14ac:dyDescent="0.15">
      <c r="B176" s="3"/>
      <c r="C176" s="3"/>
      <c r="D176" s="3"/>
      <c r="E176" s="3"/>
      <c r="F176" s="3"/>
      <c r="G176" s="3"/>
      <c r="H176" s="3"/>
      <c r="I176" s="3"/>
      <c r="J176" s="3"/>
      <c r="K176" s="3"/>
      <c r="L176" s="3"/>
      <c r="M176" s="3"/>
      <c r="N176" s="3"/>
    </row>
    <row r="177" spans="2:14" x14ac:dyDescent="0.15">
      <c r="B177" s="3"/>
      <c r="C177" s="3"/>
      <c r="D177" s="3"/>
      <c r="E177" s="3"/>
      <c r="F177" s="3"/>
      <c r="G177" s="3"/>
      <c r="H177" s="3"/>
      <c r="I177" s="3"/>
      <c r="J177" s="3"/>
      <c r="K177" s="3"/>
      <c r="L177" s="3"/>
      <c r="M177" s="3"/>
      <c r="N177" s="3"/>
    </row>
    <row r="178" spans="2:14" x14ac:dyDescent="0.15">
      <c r="B178" s="3"/>
      <c r="C178" s="3"/>
      <c r="D178" s="3"/>
      <c r="E178" s="3"/>
      <c r="F178" s="3"/>
      <c r="G178" s="3"/>
      <c r="H178" s="3"/>
      <c r="I178" s="3"/>
      <c r="J178" s="3"/>
      <c r="K178" s="3"/>
      <c r="L178" s="3"/>
      <c r="M178" s="3"/>
      <c r="N178" s="3"/>
    </row>
    <row r="179" spans="2:14" x14ac:dyDescent="0.15">
      <c r="B179" s="3"/>
      <c r="C179" s="3"/>
      <c r="D179" s="3"/>
      <c r="E179" s="3"/>
      <c r="F179" s="3"/>
      <c r="G179" s="3"/>
      <c r="H179" s="3"/>
      <c r="I179" s="3"/>
      <c r="J179" s="3"/>
      <c r="K179" s="3"/>
      <c r="L179" s="3"/>
      <c r="M179" s="3"/>
      <c r="N179" s="3"/>
    </row>
    <row r="180" spans="2:14" x14ac:dyDescent="0.15">
      <c r="B180" s="3"/>
      <c r="C180" s="3"/>
      <c r="D180" s="3"/>
      <c r="E180" s="3"/>
      <c r="F180" s="3"/>
      <c r="G180" s="3"/>
      <c r="H180" s="3"/>
      <c r="I180" s="3"/>
      <c r="J180" s="3"/>
      <c r="K180" s="3"/>
      <c r="L180" s="3"/>
      <c r="M180" s="3"/>
      <c r="N180" s="3"/>
    </row>
    <row r="181" spans="2:14" x14ac:dyDescent="0.15">
      <c r="B181" s="3"/>
      <c r="C181" s="3"/>
      <c r="D181" s="3"/>
      <c r="E181" s="3"/>
      <c r="F181" s="3"/>
      <c r="G181" s="3"/>
      <c r="H181" s="3"/>
      <c r="I181" s="3"/>
      <c r="J181" s="3"/>
      <c r="K181" s="3"/>
      <c r="L181" s="3"/>
      <c r="M181" s="3"/>
      <c r="N181" s="3"/>
    </row>
    <row r="182" spans="2:14" x14ac:dyDescent="0.15">
      <c r="B182" s="3"/>
      <c r="C182" s="3"/>
      <c r="D182" s="3"/>
      <c r="E182" s="3"/>
      <c r="F182" s="3"/>
      <c r="G182" s="3"/>
      <c r="H182" s="3"/>
      <c r="I182" s="3"/>
      <c r="J182" s="3"/>
      <c r="K182" s="3"/>
      <c r="L182" s="3"/>
      <c r="M182" s="3"/>
      <c r="N182" s="3"/>
    </row>
    <row r="183" spans="2:14" x14ac:dyDescent="0.15">
      <c r="B183" s="3"/>
      <c r="C183" s="3"/>
      <c r="D183" s="3"/>
      <c r="E183" s="3"/>
      <c r="F183" s="3"/>
      <c r="G183" s="3"/>
      <c r="H183" s="3"/>
      <c r="I183" s="3"/>
      <c r="J183" s="3"/>
      <c r="K183" s="3"/>
      <c r="L183" s="3"/>
      <c r="M183" s="3"/>
      <c r="N183" s="3"/>
    </row>
    <row r="184" spans="2:14" x14ac:dyDescent="0.15">
      <c r="B184" s="3"/>
      <c r="C184" s="3"/>
      <c r="D184" s="3"/>
      <c r="E184" s="3"/>
      <c r="F184" s="3"/>
      <c r="G184" s="3"/>
      <c r="H184" s="3"/>
      <c r="I184" s="3"/>
      <c r="J184" s="3"/>
      <c r="K184" s="3"/>
      <c r="L184" s="3"/>
      <c r="M184" s="3"/>
      <c r="N184" s="3"/>
    </row>
    <row r="185" spans="2:14" x14ac:dyDescent="0.15">
      <c r="B185" s="3"/>
      <c r="C185" s="3"/>
      <c r="D185" s="3"/>
      <c r="E185" s="3"/>
      <c r="F185" s="3"/>
      <c r="G185" s="3"/>
      <c r="H185" s="3"/>
      <c r="I185" s="3"/>
      <c r="J185" s="3"/>
      <c r="K185" s="3"/>
      <c r="L185" s="3"/>
      <c r="M185" s="3"/>
      <c r="N185" s="3"/>
    </row>
    <row r="186" spans="2:14" x14ac:dyDescent="0.15">
      <c r="B186" s="3"/>
      <c r="C186" s="3"/>
      <c r="D186" s="3"/>
      <c r="E186" s="3"/>
      <c r="F186" s="3"/>
      <c r="G186" s="3"/>
      <c r="H186" s="3"/>
      <c r="I186" s="3"/>
      <c r="J186" s="3"/>
      <c r="K186" s="3"/>
      <c r="L186" s="3"/>
      <c r="M186" s="3"/>
      <c r="N186" s="3"/>
    </row>
    <row r="187" spans="2:14" x14ac:dyDescent="0.15">
      <c r="B187" s="3"/>
      <c r="C187" s="3"/>
      <c r="D187" s="3"/>
      <c r="E187" s="3"/>
      <c r="F187" s="3"/>
      <c r="G187" s="3"/>
      <c r="H187" s="3"/>
      <c r="I187" s="3"/>
      <c r="J187" s="3"/>
      <c r="K187" s="3"/>
      <c r="L187" s="3"/>
      <c r="M187" s="3"/>
      <c r="N187" s="3"/>
    </row>
    <row r="188" spans="2:14" x14ac:dyDescent="0.15">
      <c r="B188" s="3"/>
      <c r="C188" s="3"/>
      <c r="D188" s="3"/>
      <c r="E188" s="3"/>
      <c r="F188" s="3"/>
      <c r="G188" s="3"/>
      <c r="H188" s="3"/>
      <c r="I188" s="3"/>
      <c r="J188" s="3"/>
      <c r="K188" s="3"/>
      <c r="L188" s="3"/>
      <c r="M188" s="3"/>
      <c r="N188" s="3"/>
    </row>
    <row r="189" spans="2:14" x14ac:dyDescent="0.15">
      <c r="B189" s="3"/>
      <c r="C189" s="3"/>
      <c r="D189" s="3"/>
      <c r="E189" s="3"/>
      <c r="F189" s="3"/>
      <c r="G189" s="3"/>
      <c r="H189" s="3"/>
      <c r="I189" s="3"/>
      <c r="J189" s="3"/>
      <c r="K189" s="3"/>
      <c r="L189" s="3"/>
      <c r="M189" s="3"/>
      <c r="N189" s="3"/>
    </row>
    <row r="190" spans="2:14" x14ac:dyDescent="0.15">
      <c r="B190" s="3"/>
      <c r="C190" s="3"/>
      <c r="D190" s="3"/>
      <c r="E190" s="3"/>
      <c r="F190" s="3"/>
      <c r="G190" s="3"/>
      <c r="H190" s="3"/>
      <c r="I190" s="3"/>
      <c r="J190" s="3"/>
      <c r="K190" s="3"/>
      <c r="L190" s="3"/>
      <c r="M190" s="3"/>
      <c r="N190" s="3"/>
    </row>
    <row r="191" spans="2:14" x14ac:dyDescent="0.15">
      <c r="B191" s="3"/>
      <c r="C191" s="3"/>
      <c r="D191" s="3"/>
      <c r="E191" s="3"/>
      <c r="F191" s="3"/>
      <c r="G191" s="3"/>
      <c r="H191" s="3"/>
      <c r="I191" s="3"/>
      <c r="J191" s="3"/>
      <c r="K191" s="3"/>
      <c r="L191" s="3"/>
      <c r="M191" s="3"/>
      <c r="N191" s="3"/>
    </row>
    <row r="192" spans="2:14" x14ac:dyDescent="0.15">
      <c r="B192" s="3"/>
      <c r="C192" s="3"/>
      <c r="D192" s="3"/>
      <c r="E192" s="3"/>
      <c r="F192" s="3"/>
      <c r="G192" s="3"/>
      <c r="H192" s="3"/>
      <c r="I192" s="3"/>
      <c r="J192" s="3"/>
      <c r="K192" s="3"/>
      <c r="L192" s="3"/>
      <c r="M192" s="3"/>
      <c r="N192" s="3"/>
    </row>
    <row r="193" spans="2:14" x14ac:dyDescent="0.15">
      <c r="B193" s="3"/>
      <c r="C193" s="3"/>
      <c r="D193" s="3"/>
      <c r="E193" s="3"/>
      <c r="F193" s="3"/>
      <c r="G193" s="3"/>
      <c r="H193" s="3"/>
      <c r="I193" s="3"/>
      <c r="J193" s="3"/>
      <c r="K193" s="3"/>
      <c r="L193" s="3"/>
      <c r="M193" s="3"/>
      <c r="N193" s="3"/>
    </row>
    <row r="194" spans="2:14" x14ac:dyDescent="0.15">
      <c r="B194" s="3"/>
      <c r="C194" s="3"/>
      <c r="D194" s="3"/>
      <c r="E194" s="3"/>
      <c r="F194" s="3"/>
      <c r="G194" s="3"/>
      <c r="H194" s="3"/>
      <c r="I194" s="3"/>
      <c r="J194" s="3"/>
      <c r="K194" s="3"/>
      <c r="L194" s="3"/>
      <c r="M194" s="3"/>
      <c r="N194" s="3"/>
    </row>
    <row r="195" spans="2:14" x14ac:dyDescent="0.15">
      <c r="B195" s="3"/>
      <c r="C195" s="3"/>
      <c r="D195" s="3"/>
      <c r="E195" s="3"/>
      <c r="F195" s="3"/>
      <c r="G195" s="3"/>
      <c r="H195" s="3"/>
      <c r="I195" s="3"/>
      <c r="J195" s="3"/>
      <c r="K195" s="3"/>
      <c r="L195" s="3"/>
      <c r="M195" s="3"/>
      <c r="N195" s="3"/>
    </row>
    <row r="196" spans="2:14" x14ac:dyDescent="0.15">
      <c r="B196" s="3"/>
      <c r="C196" s="3"/>
      <c r="D196" s="3"/>
      <c r="E196" s="3"/>
      <c r="F196" s="3"/>
      <c r="G196" s="3"/>
      <c r="H196" s="3"/>
      <c r="I196" s="3"/>
      <c r="J196" s="3"/>
      <c r="K196" s="3"/>
      <c r="L196" s="3"/>
      <c r="M196" s="3"/>
      <c r="N196" s="3"/>
    </row>
    <row r="197" spans="2:14" x14ac:dyDescent="0.15">
      <c r="B197" s="3"/>
      <c r="C197" s="3"/>
      <c r="D197" s="3"/>
      <c r="E197" s="3"/>
      <c r="F197" s="3"/>
      <c r="G197" s="3"/>
      <c r="H197" s="3"/>
      <c r="I197" s="3"/>
      <c r="J197" s="3"/>
      <c r="K197" s="3"/>
      <c r="L197" s="3"/>
      <c r="M197" s="3"/>
      <c r="N197" s="3"/>
    </row>
    <row r="198" spans="2:14" x14ac:dyDescent="0.15">
      <c r="B198" s="3"/>
      <c r="C198" s="3"/>
      <c r="D198" s="3"/>
      <c r="E198" s="3"/>
      <c r="F198" s="3"/>
      <c r="G198" s="3"/>
      <c r="H198" s="3"/>
      <c r="I198" s="3"/>
      <c r="J198" s="3"/>
      <c r="K198" s="3"/>
      <c r="L198" s="3"/>
      <c r="M198" s="3"/>
      <c r="N198" s="3"/>
    </row>
    <row r="199" spans="2:14" x14ac:dyDescent="0.15">
      <c r="B199" s="3"/>
      <c r="C199" s="3"/>
      <c r="D199" s="3"/>
      <c r="E199" s="3"/>
      <c r="F199" s="3"/>
      <c r="G199" s="3"/>
      <c r="H199" s="3"/>
      <c r="I199" s="3"/>
      <c r="J199" s="3"/>
      <c r="K199" s="3"/>
      <c r="L199" s="3"/>
      <c r="M199" s="3"/>
      <c r="N199" s="3"/>
    </row>
    <row r="200" spans="2:14" x14ac:dyDescent="0.15">
      <c r="B200" s="3"/>
      <c r="C200" s="3"/>
      <c r="D200" s="3"/>
      <c r="E200" s="3"/>
      <c r="F200" s="3"/>
      <c r="G200" s="3"/>
      <c r="H200" s="3"/>
      <c r="I200" s="3"/>
      <c r="J200" s="3"/>
      <c r="K200" s="3"/>
      <c r="L200" s="3"/>
      <c r="M200" s="3"/>
      <c r="N200" s="3"/>
    </row>
    <row r="201" spans="2:14" x14ac:dyDescent="0.15">
      <c r="B201" s="3"/>
      <c r="C201" s="3"/>
      <c r="D201" s="3"/>
      <c r="E201" s="3"/>
      <c r="F201" s="3"/>
      <c r="G201" s="3"/>
      <c r="H201" s="3"/>
      <c r="I201" s="3"/>
      <c r="J201" s="3"/>
      <c r="K201" s="3"/>
      <c r="L201" s="3"/>
      <c r="M201" s="3"/>
      <c r="N201" s="3"/>
    </row>
    <row r="202" spans="2:14" x14ac:dyDescent="0.15">
      <c r="B202" s="3"/>
      <c r="C202" s="3"/>
      <c r="D202" s="3"/>
      <c r="E202" s="3"/>
      <c r="F202" s="3"/>
      <c r="G202" s="3"/>
      <c r="H202" s="3"/>
      <c r="I202" s="3"/>
      <c r="J202" s="3"/>
      <c r="K202" s="3"/>
      <c r="L202" s="3"/>
      <c r="M202" s="3"/>
      <c r="N202" s="3"/>
    </row>
    <row r="203" spans="2:14" x14ac:dyDescent="0.15">
      <c r="B203" s="3"/>
      <c r="C203" s="3"/>
      <c r="D203" s="3"/>
      <c r="E203" s="3"/>
      <c r="F203" s="3"/>
      <c r="G203" s="3"/>
      <c r="H203" s="3"/>
      <c r="I203" s="3"/>
      <c r="J203" s="3"/>
      <c r="K203" s="3"/>
      <c r="L203" s="3"/>
      <c r="M203" s="3"/>
      <c r="N203" s="3"/>
    </row>
    <row r="204" spans="2:14" x14ac:dyDescent="0.15">
      <c r="B204" s="3"/>
      <c r="C204" s="3"/>
      <c r="D204" s="3"/>
      <c r="E204" s="3"/>
      <c r="F204" s="3"/>
      <c r="G204" s="3"/>
      <c r="H204" s="3"/>
      <c r="I204" s="3"/>
      <c r="J204" s="3"/>
      <c r="K204" s="3"/>
      <c r="L204" s="3"/>
      <c r="M204" s="3"/>
      <c r="N204" s="3"/>
    </row>
    <row r="205" spans="2:14" x14ac:dyDescent="0.15">
      <c r="B205" s="3"/>
      <c r="C205" s="3"/>
      <c r="D205" s="3"/>
      <c r="E205" s="3"/>
      <c r="F205" s="3"/>
      <c r="G205" s="3"/>
      <c r="H205" s="3"/>
      <c r="I205" s="3"/>
      <c r="J205" s="3"/>
      <c r="K205" s="3"/>
      <c r="L205" s="3"/>
      <c r="M205" s="3"/>
      <c r="N205" s="3"/>
    </row>
    <row r="206" spans="2:14" x14ac:dyDescent="0.15">
      <c r="B206" s="3"/>
      <c r="C206" s="3"/>
      <c r="D206" s="3"/>
      <c r="E206" s="3"/>
      <c r="F206" s="3"/>
      <c r="G206" s="3"/>
      <c r="H206" s="3"/>
      <c r="I206" s="3"/>
      <c r="J206" s="3"/>
      <c r="K206" s="3"/>
      <c r="L206" s="3"/>
      <c r="M206" s="3"/>
      <c r="N206" s="3"/>
    </row>
    <row r="207" spans="2:14" x14ac:dyDescent="0.15">
      <c r="B207" s="3"/>
      <c r="C207" s="3"/>
      <c r="D207" s="3"/>
      <c r="E207" s="3"/>
      <c r="F207" s="3"/>
      <c r="G207" s="3"/>
      <c r="H207" s="3"/>
      <c r="I207" s="3"/>
      <c r="J207" s="3"/>
      <c r="K207" s="3"/>
      <c r="L207" s="3"/>
      <c r="M207" s="3"/>
      <c r="N207" s="3"/>
    </row>
    <row r="208" spans="2:14" x14ac:dyDescent="0.15">
      <c r="B208" s="3"/>
      <c r="C208" s="3"/>
      <c r="D208" s="3"/>
      <c r="E208" s="3"/>
      <c r="F208" s="3"/>
      <c r="G208" s="3"/>
      <c r="H208" s="3"/>
      <c r="I208" s="3"/>
      <c r="J208" s="3"/>
      <c r="K208" s="3"/>
      <c r="L208" s="3"/>
      <c r="M208" s="3"/>
      <c r="N208" s="3"/>
    </row>
    <row r="209" spans="2:14" x14ac:dyDescent="0.15">
      <c r="B209" s="3"/>
      <c r="C209" s="3"/>
      <c r="D209" s="3"/>
      <c r="E209" s="3"/>
      <c r="F209" s="3"/>
      <c r="G209" s="3"/>
      <c r="H209" s="3"/>
      <c r="I209" s="3"/>
      <c r="J209" s="3"/>
      <c r="K209" s="3"/>
      <c r="L209" s="3"/>
      <c r="M209" s="3"/>
      <c r="N209" s="3"/>
    </row>
    <row r="210" spans="2:14" x14ac:dyDescent="0.15">
      <c r="B210" s="3"/>
      <c r="C210" s="3"/>
      <c r="D210" s="3"/>
      <c r="E210" s="3"/>
      <c r="F210" s="3"/>
      <c r="G210" s="3"/>
      <c r="H210" s="3"/>
      <c r="I210" s="3"/>
      <c r="J210" s="3"/>
      <c r="K210" s="3"/>
      <c r="L210" s="3"/>
      <c r="M210" s="3"/>
      <c r="N210" s="3"/>
    </row>
    <row r="211" spans="2:14" x14ac:dyDescent="0.15">
      <c r="B211" s="3"/>
      <c r="C211" s="3"/>
      <c r="D211" s="3"/>
      <c r="E211" s="3"/>
      <c r="F211" s="3"/>
      <c r="G211" s="3"/>
      <c r="H211" s="3"/>
      <c r="I211" s="3"/>
      <c r="J211" s="3"/>
      <c r="K211" s="3"/>
      <c r="L211" s="3"/>
      <c r="M211" s="3"/>
      <c r="N211" s="3"/>
    </row>
    <row r="212" spans="2:14" x14ac:dyDescent="0.15">
      <c r="B212" s="3"/>
      <c r="C212" s="3"/>
      <c r="D212" s="3"/>
      <c r="E212" s="3"/>
      <c r="F212" s="3"/>
      <c r="G212" s="3"/>
      <c r="H212" s="3"/>
      <c r="I212" s="3"/>
      <c r="J212" s="3"/>
      <c r="K212" s="3"/>
      <c r="L212" s="3"/>
      <c r="M212" s="3"/>
      <c r="N212" s="3"/>
    </row>
    <row r="213" spans="2:14" x14ac:dyDescent="0.15">
      <c r="B213" s="3"/>
      <c r="C213" s="3"/>
      <c r="D213" s="3"/>
      <c r="E213" s="3"/>
      <c r="F213" s="3"/>
      <c r="G213" s="3"/>
      <c r="H213" s="3"/>
      <c r="I213" s="3"/>
      <c r="J213" s="3"/>
      <c r="K213" s="3"/>
      <c r="L213" s="3"/>
      <c r="M213" s="3"/>
      <c r="N213" s="3"/>
    </row>
    <row r="214" spans="2:14" x14ac:dyDescent="0.15">
      <c r="B214" s="3"/>
      <c r="C214" s="3"/>
      <c r="D214" s="3"/>
      <c r="E214" s="3"/>
      <c r="F214" s="3"/>
      <c r="G214" s="3"/>
      <c r="H214" s="3"/>
      <c r="I214" s="3"/>
      <c r="J214" s="3"/>
      <c r="K214" s="3"/>
      <c r="L214" s="3"/>
      <c r="M214" s="3"/>
      <c r="N214" s="3"/>
    </row>
    <row r="215" spans="2:14" x14ac:dyDescent="0.15">
      <c r="B215" s="3"/>
      <c r="C215" s="3"/>
      <c r="D215" s="3"/>
      <c r="E215" s="3"/>
      <c r="F215" s="3"/>
      <c r="G215" s="3"/>
      <c r="H215" s="3"/>
      <c r="I215" s="3"/>
      <c r="J215" s="3"/>
      <c r="K215" s="3"/>
      <c r="L215" s="3"/>
      <c r="M215" s="3"/>
      <c r="N215" s="3"/>
    </row>
    <row r="216" spans="2:14" x14ac:dyDescent="0.15">
      <c r="B216" s="3"/>
      <c r="C216" s="3"/>
      <c r="D216" s="3"/>
      <c r="E216" s="3"/>
      <c r="F216" s="3"/>
      <c r="G216" s="3"/>
      <c r="H216" s="3"/>
      <c r="I216" s="3"/>
      <c r="J216" s="3"/>
      <c r="K216" s="3"/>
      <c r="L216" s="3"/>
      <c r="M216" s="3"/>
      <c r="N216" s="3"/>
    </row>
    <row r="217" spans="2:14" x14ac:dyDescent="0.15">
      <c r="B217" s="3"/>
      <c r="C217" s="3"/>
      <c r="D217" s="3"/>
      <c r="E217" s="3"/>
      <c r="F217" s="3"/>
      <c r="G217" s="3"/>
      <c r="H217" s="3"/>
      <c r="I217" s="3"/>
      <c r="J217" s="3"/>
      <c r="K217" s="3"/>
      <c r="L217" s="3"/>
      <c r="M217" s="3"/>
      <c r="N217" s="3"/>
    </row>
    <row r="218" spans="2:14" x14ac:dyDescent="0.15">
      <c r="B218" s="3"/>
      <c r="C218" s="3"/>
      <c r="D218" s="3"/>
      <c r="E218" s="3"/>
      <c r="F218" s="3"/>
      <c r="G218" s="3"/>
      <c r="H218" s="3"/>
      <c r="I218" s="3"/>
      <c r="J218" s="3"/>
      <c r="K218" s="3"/>
      <c r="L218" s="3"/>
      <c r="M218" s="3"/>
      <c r="N218" s="3"/>
    </row>
    <row r="219" spans="2:14" x14ac:dyDescent="0.15">
      <c r="B219" s="3"/>
      <c r="C219" s="3"/>
      <c r="D219" s="3"/>
      <c r="E219" s="3"/>
      <c r="F219" s="3"/>
      <c r="G219" s="3"/>
      <c r="H219" s="3"/>
      <c r="I219" s="3"/>
      <c r="J219" s="3"/>
      <c r="K219" s="3"/>
      <c r="L219" s="3"/>
      <c r="M219" s="3"/>
      <c r="N219" s="3"/>
    </row>
    <row r="220" spans="2:14" x14ac:dyDescent="0.15">
      <c r="B220" s="3"/>
      <c r="C220" s="3"/>
      <c r="D220" s="3"/>
      <c r="E220" s="3"/>
      <c r="F220" s="3"/>
      <c r="G220" s="3"/>
      <c r="H220" s="3"/>
      <c r="I220" s="3"/>
      <c r="J220" s="3"/>
      <c r="K220" s="3"/>
      <c r="L220" s="3"/>
      <c r="M220" s="3"/>
      <c r="N220" s="3"/>
    </row>
    <row r="221" spans="2:14" x14ac:dyDescent="0.15">
      <c r="B221" s="3"/>
      <c r="C221" s="3"/>
      <c r="D221" s="3"/>
      <c r="E221" s="3"/>
      <c r="F221" s="3"/>
      <c r="G221" s="3"/>
      <c r="H221" s="3"/>
      <c r="I221" s="3"/>
      <c r="J221" s="3"/>
      <c r="K221" s="3"/>
      <c r="L221" s="3"/>
      <c r="M221" s="3"/>
      <c r="N221" s="3"/>
    </row>
    <row r="222" spans="2:14" x14ac:dyDescent="0.15">
      <c r="B222" s="3"/>
      <c r="C222" s="3"/>
      <c r="D222" s="3"/>
      <c r="E222" s="3"/>
      <c r="F222" s="3"/>
      <c r="G222" s="3"/>
      <c r="H222" s="3"/>
      <c r="I222" s="3"/>
      <c r="J222" s="3"/>
      <c r="K222" s="3"/>
      <c r="L222" s="3"/>
      <c r="M222" s="3"/>
      <c r="N222" s="3"/>
    </row>
    <row r="223" spans="2:14" x14ac:dyDescent="0.15">
      <c r="B223" s="3"/>
      <c r="C223" s="3"/>
      <c r="D223" s="3"/>
      <c r="E223" s="3"/>
      <c r="F223" s="3"/>
      <c r="G223" s="3"/>
      <c r="H223" s="3"/>
      <c r="I223" s="3"/>
      <c r="J223" s="3"/>
      <c r="K223" s="3"/>
      <c r="L223" s="3"/>
      <c r="M223" s="3"/>
      <c r="N223" s="3"/>
    </row>
    <row r="224" spans="2:14" x14ac:dyDescent="0.15">
      <c r="B224" s="3"/>
      <c r="C224" s="3"/>
      <c r="D224" s="3"/>
      <c r="E224" s="3"/>
      <c r="F224" s="3"/>
      <c r="G224" s="3"/>
      <c r="H224" s="3"/>
      <c r="I224" s="3"/>
      <c r="J224" s="3"/>
      <c r="K224" s="3"/>
      <c r="L224" s="3"/>
      <c r="M224" s="3"/>
      <c r="N224" s="3"/>
    </row>
    <row r="225" spans="2:14" x14ac:dyDescent="0.15">
      <c r="B225" s="3"/>
      <c r="C225" s="3"/>
      <c r="D225" s="3"/>
      <c r="E225" s="3"/>
      <c r="F225" s="3"/>
      <c r="G225" s="3"/>
      <c r="H225" s="3"/>
      <c r="I225" s="3"/>
      <c r="J225" s="3"/>
      <c r="K225" s="3"/>
      <c r="L225" s="3"/>
      <c r="M225" s="3"/>
      <c r="N225" s="3"/>
    </row>
    <row r="226" spans="2:14" x14ac:dyDescent="0.15">
      <c r="B226" s="3"/>
      <c r="C226" s="3"/>
      <c r="D226" s="3"/>
      <c r="E226" s="3"/>
      <c r="F226" s="3"/>
      <c r="G226" s="3"/>
      <c r="H226" s="3"/>
      <c r="I226" s="3"/>
      <c r="J226" s="3"/>
      <c r="K226" s="3"/>
      <c r="L226" s="3"/>
      <c r="M226" s="3"/>
      <c r="N226" s="3"/>
    </row>
    <row r="227" spans="2:14" x14ac:dyDescent="0.15">
      <c r="B227" s="3"/>
      <c r="C227" s="3"/>
      <c r="D227" s="3"/>
      <c r="E227" s="3"/>
      <c r="F227" s="3"/>
      <c r="G227" s="3"/>
      <c r="H227" s="3"/>
      <c r="I227" s="3"/>
      <c r="J227" s="3"/>
      <c r="K227" s="3"/>
      <c r="L227" s="3"/>
      <c r="M227" s="3"/>
      <c r="N227" s="3"/>
    </row>
    <row r="228" spans="2:14" x14ac:dyDescent="0.15">
      <c r="B228" s="3"/>
      <c r="C228" s="3"/>
      <c r="D228" s="3"/>
      <c r="E228" s="3"/>
      <c r="F228" s="3"/>
      <c r="G228" s="3"/>
      <c r="H228" s="3"/>
      <c r="I228" s="3"/>
      <c r="J228" s="3"/>
      <c r="K228" s="3"/>
      <c r="L228" s="3"/>
      <c r="M228" s="3"/>
      <c r="N228" s="3"/>
    </row>
    <row r="229" spans="2:14" x14ac:dyDescent="0.15">
      <c r="B229" s="3"/>
      <c r="C229" s="3"/>
      <c r="D229" s="3"/>
      <c r="E229" s="3"/>
      <c r="F229" s="3"/>
      <c r="G229" s="3"/>
      <c r="H229" s="3"/>
      <c r="I229" s="3"/>
      <c r="J229" s="3"/>
      <c r="K229" s="3"/>
      <c r="L229" s="3"/>
      <c r="M229" s="3"/>
      <c r="N229" s="3"/>
    </row>
    <row r="230" spans="2:14" x14ac:dyDescent="0.15">
      <c r="B230" s="3"/>
      <c r="C230" s="3"/>
      <c r="D230" s="3"/>
      <c r="E230" s="3"/>
      <c r="F230" s="3"/>
      <c r="G230" s="3"/>
      <c r="H230" s="3"/>
      <c r="I230" s="3"/>
      <c r="J230" s="3"/>
      <c r="K230" s="3"/>
      <c r="L230" s="3"/>
      <c r="M230" s="3"/>
      <c r="N230" s="3"/>
    </row>
    <row r="231" spans="2:14" x14ac:dyDescent="0.15">
      <c r="B231" s="3"/>
      <c r="C231" s="3"/>
      <c r="D231" s="3"/>
      <c r="E231" s="3"/>
      <c r="F231" s="3"/>
      <c r="G231" s="3"/>
      <c r="H231" s="3"/>
      <c r="I231" s="3"/>
      <c r="J231" s="3"/>
      <c r="K231" s="3"/>
      <c r="L231" s="3"/>
      <c r="M231" s="3"/>
      <c r="N231" s="3"/>
    </row>
    <row r="232" spans="2:14" x14ac:dyDescent="0.15">
      <c r="B232" s="3"/>
      <c r="C232" s="3"/>
      <c r="D232" s="3"/>
      <c r="E232" s="3"/>
      <c r="F232" s="3"/>
      <c r="G232" s="3"/>
      <c r="H232" s="3"/>
      <c r="I232" s="3"/>
      <c r="J232" s="3"/>
      <c r="K232" s="3"/>
      <c r="L232" s="3"/>
      <c r="M232" s="3"/>
      <c r="N232" s="3"/>
    </row>
    <row r="233" spans="2:14" x14ac:dyDescent="0.15">
      <c r="B233" s="3"/>
      <c r="C233" s="3"/>
      <c r="D233" s="3"/>
      <c r="E233" s="3"/>
      <c r="F233" s="3"/>
      <c r="G233" s="3"/>
      <c r="H233" s="3"/>
      <c r="I233" s="3"/>
      <c r="J233" s="3"/>
      <c r="K233" s="3"/>
      <c r="L233" s="3"/>
      <c r="M233" s="3"/>
      <c r="N233" s="3"/>
    </row>
    <row r="234" spans="2:14" x14ac:dyDescent="0.15">
      <c r="B234" s="3"/>
      <c r="C234" s="3"/>
      <c r="D234" s="3"/>
      <c r="E234" s="3"/>
      <c r="F234" s="3"/>
      <c r="G234" s="3"/>
      <c r="H234" s="3"/>
      <c r="I234" s="3"/>
      <c r="J234" s="3"/>
      <c r="K234" s="3"/>
      <c r="L234" s="3"/>
      <c r="M234" s="3"/>
      <c r="N234" s="3"/>
    </row>
    <row r="235" spans="2:14" x14ac:dyDescent="0.15">
      <c r="B235" s="3"/>
      <c r="C235" s="3"/>
      <c r="D235" s="3"/>
      <c r="E235" s="3"/>
      <c r="F235" s="3"/>
      <c r="G235" s="3"/>
      <c r="H235" s="3"/>
      <c r="I235" s="3"/>
      <c r="J235" s="3"/>
      <c r="K235" s="3"/>
      <c r="L235" s="3"/>
      <c r="M235" s="3"/>
      <c r="N235" s="3"/>
    </row>
    <row r="236" spans="2:14" x14ac:dyDescent="0.15">
      <c r="B236" s="3"/>
      <c r="C236" s="3"/>
      <c r="D236" s="3"/>
      <c r="E236" s="3"/>
      <c r="F236" s="3"/>
      <c r="G236" s="3"/>
      <c r="H236" s="3"/>
      <c r="I236" s="3"/>
      <c r="J236" s="3"/>
      <c r="K236" s="3"/>
      <c r="L236" s="3"/>
      <c r="M236" s="3"/>
      <c r="N236" s="3"/>
    </row>
    <row r="237" spans="2:14" x14ac:dyDescent="0.15">
      <c r="B237" s="3"/>
      <c r="C237" s="3"/>
      <c r="D237" s="3"/>
      <c r="E237" s="3"/>
      <c r="F237" s="3"/>
      <c r="G237" s="3"/>
      <c r="H237" s="3"/>
      <c r="I237" s="3"/>
      <c r="J237" s="3"/>
      <c r="K237" s="3"/>
      <c r="L237" s="3"/>
      <c r="M237" s="3"/>
      <c r="N237" s="3"/>
    </row>
    <row r="238" spans="2:14" x14ac:dyDescent="0.15">
      <c r="B238" s="3"/>
      <c r="C238" s="3"/>
      <c r="D238" s="3"/>
      <c r="E238" s="3"/>
      <c r="F238" s="3"/>
      <c r="G238" s="3"/>
      <c r="H238" s="3"/>
      <c r="I238" s="3"/>
      <c r="J238" s="3"/>
      <c r="K238" s="3"/>
      <c r="L238" s="3"/>
      <c r="M238" s="3"/>
      <c r="N238" s="3"/>
    </row>
    <row r="239" spans="2:14" x14ac:dyDescent="0.15">
      <c r="B239" s="3"/>
      <c r="C239" s="3"/>
      <c r="D239" s="3"/>
      <c r="E239" s="3"/>
      <c r="F239" s="3"/>
      <c r="G239" s="3"/>
      <c r="H239" s="3"/>
      <c r="I239" s="3"/>
      <c r="J239" s="3"/>
      <c r="K239" s="3"/>
      <c r="L239" s="3"/>
      <c r="M239" s="3"/>
      <c r="N239" s="3"/>
    </row>
    <row r="240" spans="2:14" x14ac:dyDescent="0.15">
      <c r="B240" s="3"/>
      <c r="C240" s="3"/>
      <c r="D240" s="3"/>
      <c r="E240" s="3"/>
      <c r="F240" s="3"/>
      <c r="G240" s="3"/>
      <c r="H240" s="3"/>
      <c r="I240" s="3"/>
      <c r="J240" s="3"/>
      <c r="K240" s="3"/>
      <c r="L240" s="3"/>
      <c r="M240" s="3"/>
      <c r="N240" s="3"/>
    </row>
    <row r="241" spans="2:14" x14ac:dyDescent="0.15">
      <c r="B241" s="3"/>
      <c r="C241" s="3"/>
      <c r="D241" s="3"/>
      <c r="E241" s="3"/>
      <c r="F241" s="3"/>
      <c r="G241" s="3"/>
      <c r="H241" s="3"/>
      <c r="I241" s="3"/>
      <c r="J241" s="3"/>
      <c r="K241" s="3"/>
      <c r="L241" s="3"/>
      <c r="M241" s="3"/>
      <c r="N241" s="3"/>
    </row>
    <row r="242" spans="2:14" x14ac:dyDescent="0.15">
      <c r="B242" s="3"/>
      <c r="C242" s="3"/>
      <c r="D242" s="3"/>
      <c r="E242" s="3"/>
      <c r="F242" s="3"/>
      <c r="G242" s="3"/>
      <c r="H242" s="3"/>
      <c r="I242" s="3"/>
      <c r="J242" s="3"/>
      <c r="K242" s="3"/>
      <c r="L242" s="3"/>
      <c r="M242" s="3"/>
      <c r="N242" s="3"/>
    </row>
    <row r="243" spans="2:14" x14ac:dyDescent="0.15">
      <c r="B243" s="3"/>
      <c r="C243" s="3"/>
      <c r="D243" s="3"/>
      <c r="E243" s="3"/>
      <c r="F243" s="3"/>
      <c r="G243" s="3"/>
      <c r="H243" s="3"/>
      <c r="I243" s="3"/>
      <c r="J243" s="3"/>
      <c r="K243" s="3"/>
      <c r="L243" s="3"/>
      <c r="M243" s="3"/>
      <c r="N243" s="3"/>
    </row>
    <row r="244" spans="2:14" x14ac:dyDescent="0.15">
      <c r="B244" s="3"/>
      <c r="C244" s="3"/>
      <c r="D244" s="3"/>
      <c r="E244" s="3"/>
      <c r="F244" s="3"/>
      <c r="G244" s="3"/>
      <c r="H244" s="3"/>
      <c r="I244" s="3"/>
      <c r="J244" s="3"/>
      <c r="K244" s="3"/>
      <c r="L244" s="3"/>
      <c r="M244" s="3"/>
      <c r="N244" s="3"/>
    </row>
    <row r="245" spans="2:14" x14ac:dyDescent="0.15">
      <c r="B245" s="3"/>
      <c r="C245" s="3"/>
      <c r="D245" s="3"/>
      <c r="E245" s="3"/>
      <c r="F245" s="3"/>
      <c r="G245" s="3"/>
      <c r="H245" s="3"/>
      <c r="I245" s="3"/>
      <c r="J245" s="3"/>
      <c r="K245" s="3"/>
      <c r="L245" s="3"/>
      <c r="M245" s="3"/>
      <c r="N245" s="3"/>
    </row>
    <row r="246" spans="2:14" x14ac:dyDescent="0.15">
      <c r="B246" s="3"/>
      <c r="C246" s="3"/>
      <c r="D246" s="3"/>
      <c r="E246" s="3"/>
      <c r="F246" s="3"/>
      <c r="G246" s="3"/>
      <c r="H246" s="3"/>
      <c r="I246" s="3"/>
      <c r="J246" s="3"/>
      <c r="K246" s="3"/>
      <c r="L246" s="3"/>
      <c r="M246" s="3"/>
      <c r="N246" s="3"/>
    </row>
    <row r="247" spans="2:14" x14ac:dyDescent="0.15">
      <c r="B247" s="3"/>
      <c r="C247" s="3"/>
      <c r="D247" s="3"/>
      <c r="E247" s="3"/>
      <c r="F247" s="3"/>
      <c r="G247" s="3"/>
      <c r="H247" s="3"/>
      <c r="I247" s="3"/>
      <c r="J247" s="3"/>
      <c r="K247" s="3"/>
      <c r="L247" s="3"/>
      <c r="M247" s="3"/>
      <c r="N247" s="3"/>
    </row>
    <row r="248" spans="2:14" x14ac:dyDescent="0.15">
      <c r="B248" s="3"/>
      <c r="C248" s="3"/>
      <c r="D248" s="3"/>
      <c r="E248" s="3"/>
      <c r="F248" s="3"/>
      <c r="G248" s="3"/>
      <c r="H248" s="3"/>
      <c r="I248" s="3"/>
      <c r="J248" s="3"/>
      <c r="K248" s="3"/>
      <c r="L248" s="3"/>
      <c r="M248" s="3"/>
      <c r="N248" s="3"/>
    </row>
    <row r="249" spans="2:14" x14ac:dyDescent="0.15">
      <c r="B249" s="3"/>
      <c r="C249" s="3"/>
      <c r="D249" s="3"/>
      <c r="E249" s="3"/>
      <c r="F249" s="3"/>
      <c r="G249" s="3"/>
      <c r="H249" s="3"/>
      <c r="I249" s="3"/>
      <c r="J249" s="3"/>
      <c r="K249" s="3"/>
      <c r="L249" s="3"/>
      <c r="M249" s="3"/>
      <c r="N249" s="3"/>
    </row>
    <row r="250" spans="2:14" x14ac:dyDescent="0.15">
      <c r="B250" s="3"/>
      <c r="C250" s="3"/>
      <c r="D250" s="3"/>
      <c r="E250" s="3"/>
      <c r="F250" s="3"/>
      <c r="G250" s="3"/>
      <c r="H250" s="3"/>
      <c r="I250" s="3"/>
      <c r="J250" s="3"/>
      <c r="K250" s="3"/>
      <c r="L250" s="3"/>
      <c r="M250" s="3"/>
      <c r="N250" s="3"/>
    </row>
    <row r="251" spans="2:14" x14ac:dyDescent="0.15">
      <c r="B251" s="3"/>
      <c r="C251" s="3"/>
      <c r="D251" s="3"/>
      <c r="E251" s="3"/>
      <c r="F251" s="3"/>
      <c r="G251" s="3"/>
      <c r="H251" s="3"/>
      <c r="I251" s="3"/>
      <c r="J251" s="3"/>
      <c r="K251" s="3"/>
      <c r="L251" s="3"/>
      <c r="M251" s="3"/>
      <c r="N251" s="3"/>
    </row>
    <row r="252" spans="2:14" x14ac:dyDescent="0.15">
      <c r="B252" s="3"/>
      <c r="C252" s="3"/>
      <c r="D252" s="3"/>
      <c r="E252" s="3"/>
      <c r="F252" s="3"/>
      <c r="G252" s="3"/>
      <c r="H252" s="3"/>
      <c r="I252" s="3"/>
      <c r="J252" s="3"/>
      <c r="K252" s="3"/>
      <c r="L252" s="3"/>
      <c r="M252" s="3"/>
      <c r="N252" s="3"/>
    </row>
    <row r="253" spans="2:14" x14ac:dyDescent="0.15">
      <c r="B253" s="3"/>
      <c r="C253" s="3"/>
      <c r="D253" s="3"/>
      <c r="E253" s="3"/>
      <c r="F253" s="3"/>
      <c r="G253" s="3"/>
      <c r="H253" s="3"/>
      <c r="I253" s="3"/>
      <c r="J253" s="3"/>
      <c r="K253" s="3"/>
      <c r="L253" s="3"/>
      <c r="M253" s="3"/>
      <c r="N253" s="3"/>
    </row>
    <row r="254" spans="2:14" x14ac:dyDescent="0.15">
      <c r="B254" s="3"/>
      <c r="C254" s="3"/>
      <c r="D254" s="3"/>
      <c r="E254" s="3"/>
      <c r="F254" s="3"/>
      <c r="G254" s="3"/>
      <c r="H254" s="3"/>
      <c r="I254" s="3"/>
      <c r="J254" s="3"/>
      <c r="K254" s="3"/>
      <c r="L254" s="3"/>
      <c r="M254" s="3"/>
      <c r="N254" s="3"/>
    </row>
    <row r="255" spans="2:14" x14ac:dyDescent="0.15">
      <c r="B255" s="3"/>
      <c r="C255" s="3"/>
      <c r="D255" s="3"/>
      <c r="E255" s="3"/>
      <c r="F255" s="3"/>
      <c r="G255" s="3"/>
      <c r="H255" s="3"/>
      <c r="I255" s="3"/>
      <c r="J255" s="3"/>
      <c r="K255" s="3"/>
      <c r="L255" s="3"/>
      <c r="M255" s="3"/>
      <c r="N255" s="3"/>
    </row>
    <row r="256" spans="2:14" x14ac:dyDescent="0.15">
      <c r="B256" s="3"/>
      <c r="C256" s="3"/>
      <c r="D256" s="3"/>
      <c r="E256" s="3"/>
      <c r="F256" s="3"/>
      <c r="G256" s="3"/>
      <c r="H256" s="3"/>
      <c r="I256" s="3"/>
      <c r="J256" s="3"/>
      <c r="K256" s="3"/>
      <c r="L256" s="3"/>
      <c r="M256" s="3"/>
      <c r="N256" s="3"/>
    </row>
    <row r="257" spans="2:14" x14ac:dyDescent="0.15">
      <c r="B257" s="3"/>
      <c r="C257" s="3"/>
      <c r="D257" s="3"/>
      <c r="E257" s="3"/>
      <c r="F257" s="3"/>
      <c r="G257" s="3"/>
      <c r="H257" s="3"/>
      <c r="I257" s="3"/>
      <c r="J257" s="3"/>
      <c r="K257" s="3"/>
      <c r="L257" s="3"/>
      <c r="M257" s="3"/>
      <c r="N257" s="3"/>
    </row>
    <row r="258" spans="2:14" x14ac:dyDescent="0.15">
      <c r="B258" s="3"/>
      <c r="C258" s="3"/>
      <c r="D258" s="3"/>
      <c r="E258" s="3"/>
      <c r="F258" s="3"/>
      <c r="G258" s="3"/>
      <c r="H258" s="3"/>
      <c r="I258" s="3"/>
      <c r="J258" s="3"/>
      <c r="K258" s="3"/>
      <c r="L258" s="3"/>
      <c r="M258" s="3"/>
      <c r="N258" s="3"/>
    </row>
    <row r="259" spans="2:14" x14ac:dyDescent="0.15">
      <c r="B259" s="3"/>
      <c r="C259" s="3"/>
      <c r="D259" s="3"/>
      <c r="E259" s="3"/>
      <c r="F259" s="3"/>
      <c r="G259" s="3"/>
      <c r="H259" s="3"/>
      <c r="I259" s="3"/>
      <c r="J259" s="3"/>
      <c r="K259" s="3"/>
      <c r="L259" s="3"/>
      <c r="M259" s="3"/>
      <c r="N259" s="3"/>
    </row>
    <row r="260" spans="2:14" x14ac:dyDescent="0.15">
      <c r="B260" s="3"/>
      <c r="C260" s="3"/>
      <c r="D260" s="3"/>
      <c r="E260" s="3"/>
      <c r="F260" s="3"/>
      <c r="G260" s="3"/>
      <c r="H260" s="3"/>
      <c r="I260" s="3"/>
      <c r="J260" s="3"/>
      <c r="K260" s="3"/>
      <c r="L260" s="3"/>
      <c r="M260" s="3"/>
      <c r="N260" s="3"/>
    </row>
    <row r="261" spans="2:14" x14ac:dyDescent="0.15">
      <c r="B261" s="3"/>
      <c r="C261" s="3"/>
      <c r="D261" s="3"/>
      <c r="E261" s="3"/>
      <c r="F261" s="3"/>
      <c r="G261" s="3"/>
      <c r="H261" s="3"/>
      <c r="I261" s="3"/>
      <c r="J261" s="3"/>
      <c r="K261" s="3"/>
      <c r="L261" s="3"/>
      <c r="M261" s="3"/>
      <c r="N261" s="3"/>
    </row>
    <row r="262" spans="2:14" x14ac:dyDescent="0.15">
      <c r="B262" s="3"/>
      <c r="C262" s="3"/>
      <c r="D262" s="3"/>
      <c r="E262" s="3"/>
      <c r="F262" s="3"/>
      <c r="G262" s="3"/>
      <c r="H262" s="3"/>
      <c r="I262" s="3"/>
      <c r="J262" s="3"/>
      <c r="K262" s="3"/>
      <c r="L262" s="3"/>
      <c r="M262" s="3"/>
      <c r="N262" s="3"/>
    </row>
    <row r="263" spans="2:14" x14ac:dyDescent="0.15">
      <c r="B263" s="3"/>
      <c r="C263" s="3"/>
      <c r="D263" s="3"/>
      <c r="E263" s="3"/>
      <c r="F263" s="3"/>
      <c r="G263" s="3"/>
      <c r="H263" s="3"/>
      <c r="I263" s="3"/>
      <c r="J263" s="3"/>
      <c r="K263" s="3"/>
      <c r="L263" s="3"/>
      <c r="M263" s="3"/>
      <c r="N263" s="3"/>
    </row>
    <row r="264" spans="2:14" x14ac:dyDescent="0.15">
      <c r="B264" s="3"/>
      <c r="C264" s="3"/>
      <c r="D264" s="3"/>
      <c r="E264" s="3"/>
      <c r="F264" s="3"/>
      <c r="G264" s="3"/>
      <c r="H264" s="3"/>
      <c r="I264" s="3"/>
      <c r="J264" s="3"/>
      <c r="K264" s="3"/>
      <c r="L264" s="3"/>
      <c r="M264" s="3"/>
      <c r="N264" s="3"/>
    </row>
    <row r="265" spans="2:14" x14ac:dyDescent="0.15">
      <c r="B265" s="3"/>
      <c r="C265" s="3"/>
      <c r="D265" s="3"/>
      <c r="E265" s="3"/>
      <c r="F265" s="3"/>
      <c r="G265" s="3"/>
      <c r="H265" s="3"/>
      <c r="I265" s="3"/>
      <c r="J265" s="3"/>
      <c r="K265" s="3"/>
      <c r="L265" s="3"/>
      <c r="M265" s="3"/>
      <c r="N265" s="3"/>
    </row>
    <row r="266" spans="2:14" x14ac:dyDescent="0.15">
      <c r="B266" s="3"/>
      <c r="C266" s="3"/>
      <c r="D266" s="3"/>
      <c r="E266" s="3"/>
      <c r="F266" s="3"/>
      <c r="G266" s="3"/>
      <c r="H266" s="3"/>
      <c r="I266" s="3"/>
      <c r="J266" s="3"/>
      <c r="K266" s="3"/>
      <c r="L266" s="3"/>
      <c r="M266" s="3"/>
      <c r="N266" s="3"/>
    </row>
    <row r="267" spans="2:14" x14ac:dyDescent="0.15">
      <c r="B267" s="3"/>
      <c r="C267" s="3"/>
      <c r="D267" s="3"/>
      <c r="E267" s="3"/>
      <c r="F267" s="3"/>
      <c r="G267" s="3"/>
      <c r="H267" s="3"/>
      <c r="I267" s="3"/>
      <c r="J267" s="3"/>
      <c r="K267" s="3"/>
      <c r="L267" s="3"/>
      <c r="M267" s="3"/>
      <c r="N267" s="3"/>
    </row>
    <row r="268" spans="2:14" x14ac:dyDescent="0.15">
      <c r="B268" s="3"/>
      <c r="C268" s="3"/>
      <c r="D268" s="3"/>
      <c r="E268" s="3"/>
      <c r="F268" s="3"/>
      <c r="G268" s="3"/>
      <c r="H268" s="3"/>
      <c r="I268" s="3"/>
      <c r="J268" s="3"/>
      <c r="K268" s="3"/>
      <c r="L268" s="3"/>
      <c r="M268" s="3"/>
      <c r="N268" s="3"/>
    </row>
    <row r="269" spans="2:14" x14ac:dyDescent="0.15">
      <c r="B269" s="3"/>
      <c r="C269" s="3"/>
      <c r="D269" s="3"/>
      <c r="E269" s="3"/>
      <c r="F269" s="3"/>
      <c r="G269" s="3"/>
      <c r="H269" s="3"/>
      <c r="I269" s="3"/>
      <c r="J269" s="3"/>
      <c r="K269" s="3"/>
      <c r="L269" s="3"/>
      <c r="M269" s="3"/>
      <c r="N269" s="3"/>
    </row>
    <row r="270" spans="2:14" x14ac:dyDescent="0.15">
      <c r="B270" s="3"/>
      <c r="C270" s="3"/>
      <c r="D270" s="3"/>
      <c r="E270" s="3"/>
      <c r="F270" s="3"/>
      <c r="G270" s="3"/>
      <c r="H270" s="3"/>
      <c r="I270" s="3"/>
      <c r="J270" s="3"/>
      <c r="K270" s="3"/>
      <c r="L270" s="3"/>
      <c r="M270" s="3"/>
      <c r="N270" s="3"/>
    </row>
    <row r="271" spans="2:14" x14ac:dyDescent="0.15">
      <c r="B271" s="3"/>
      <c r="C271" s="3"/>
      <c r="D271" s="3"/>
      <c r="E271" s="3"/>
      <c r="F271" s="3"/>
      <c r="G271" s="3"/>
      <c r="H271" s="3"/>
      <c r="I271" s="3"/>
      <c r="J271" s="3"/>
      <c r="K271" s="3"/>
      <c r="L271" s="3"/>
      <c r="M271" s="3"/>
      <c r="N271" s="3"/>
    </row>
    <row r="272" spans="2:14" x14ac:dyDescent="0.15">
      <c r="B272" s="3"/>
      <c r="C272" s="3"/>
      <c r="D272" s="3"/>
      <c r="E272" s="3"/>
      <c r="F272" s="3"/>
      <c r="G272" s="3"/>
      <c r="H272" s="3"/>
      <c r="I272" s="3"/>
      <c r="J272" s="3"/>
      <c r="K272" s="3"/>
      <c r="L272" s="3"/>
      <c r="M272" s="3"/>
      <c r="N272" s="3"/>
    </row>
    <row r="273" spans="2:14" x14ac:dyDescent="0.15">
      <c r="B273" s="3"/>
      <c r="C273" s="3"/>
      <c r="D273" s="3"/>
      <c r="E273" s="3"/>
      <c r="F273" s="3"/>
      <c r="G273" s="3"/>
      <c r="H273" s="3"/>
      <c r="I273" s="3"/>
      <c r="J273" s="3"/>
      <c r="K273" s="3"/>
      <c r="L273" s="3"/>
      <c r="M273" s="3"/>
      <c r="N273" s="3"/>
    </row>
    <row r="274" spans="2:14" x14ac:dyDescent="0.15">
      <c r="B274" s="3"/>
      <c r="C274" s="3"/>
      <c r="D274" s="3"/>
      <c r="E274" s="3"/>
      <c r="F274" s="3"/>
      <c r="G274" s="3"/>
      <c r="H274" s="3"/>
      <c r="I274" s="3"/>
      <c r="J274" s="3"/>
      <c r="K274" s="3"/>
      <c r="L274" s="3"/>
      <c r="M274" s="3"/>
      <c r="N274" s="3"/>
    </row>
    <row r="275" spans="2:14" x14ac:dyDescent="0.15">
      <c r="B275" s="3"/>
      <c r="C275" s="3"/>
      <c r="D275" s="3"/>
      <c r="E275" s="3"/>
      <c r="F275" s="3"/>
      <c r="G275" s="3"/>
      <c r="H275" s="3"/>
      <c r="I275" s="3"/>
      <c r="J275" s="3"/>
      <c r="K275" s="3"/>
      <c r="L275" s="3"/>
      <c r="M275" s="3"/>
      <c r="N275" s="3"/>
    </row>
    <row r="276" spans="2:14" x14ac:dyDescent="0.15">
      <c r="B276" s="3"/>
      <c r="C276" s="3"/>
      <c r="D276" s="3"/>
      <c r="E276" s="3"/>
      <c r="F276" s="3"/>
      <c r="G276" s="3"/>
      <c r="H276" s="3"/>
      <c r="I276" s="3"/>
      <c r="J276" s="3"/>
      <c r="K276" s="3"/>
      <c r="L276" s="3"/>
      <c r="M276" s="3"/>
      <c r="N276" s="3"/>
    </row>
    <row r="277" spans="2:14" x14ac:dyDescent="0.15">
      <c r="B277" s="3"/>
      <c r="C277" s="3"/>
      <c r="D277" s="3"/>
      <c r="E277" s="3"/>
      <c r="F277" s="3"/>
      <c r="G277" s="3"/>
      <c r="H277" s="3"/>
      <c r="I277" s="3"/>
      <c r="J277" s="3"/>
      <c r="K277" s="3"/>
      <c r="L277" s="3"/>
      <c r="M277" s="3"/>
      <c r="N277" s="3"/>
    </row>
    <row r="278" spans="2:14" x14ac:dyDescent="0.15">
      <c r="B278" s="3"/>
      <c r="C278" s="3"/>
      <c r="D278" s="3"/>
      <c r="E278" s="3"/>
      <c r="F278" s="3"/>
      <c r="G278" s="3"/>
      <c r="H278" s="3"/>
      <c r="I278" s="3"/>
      <c r="J278" s="3"/>
      <c r="K278" s="3"/>
      <c r="L278" s="3"/>
      <c r="M278" s="3"/>
      <c r="N278" s="3"/>
    </row>
    <row r="279" spans="2:14" x14ac:dyDescent="0.15">
      <c r="B279" s="3"/>
      <c r="C279" s="3"/>
      <c r="D279" s="3"/>
      <c r="E279" s="3"/>
      <c r="F279" s="3"/>
      <c r="G279" s="3"/>
      <c r="H279" s="3"/>
      <c r="I279" s="3"/>
      <c r="J279" s="3"/>
      <c r="K279" s="3"/>
      <c r="L279" s="3"/>
      <c r="M279" s="3"/>
      <c r="N279" s="3"/>
    </row>
    <row r="280" spans="2:14" x14ac:dyDescent="0.15">
      <c r="B280" s="3"/>
      <c r="C280" s="3"/>
      <c r="D280" s="3"/>
      <c r="E280" s="3"/>
      <c r="F280" s="3"/>
      <c r="G280" s="3"/>
      <c r="H280" s="3"/>
      <c r="I280" s="3"/>
      <c r="J280" s="3"/>
      <c r="K280" s="3"/>
      <c r="L280" s="3"/>
      <c r="M280" s="3"/>
      <c r="N280" s="3"/>
    </row>
    <row r="281" spans="2:14" x14ac:dyDescent="0.15">
      <c r="B281" s="3"/>
      <c r="C281" s="3"/>
      <c r="D281" s="3"/>
      <c r="E281" s="3"/>
      <c r="F281" s="3"/>
      <c r="G281" s="3"/>
      <c r="H281" s="3"/>
      <c r="I281" s="3"/>
      <c r="J281" s="3"/>
      <c r="K281" s="3"/>
      <c r="L281" s="3"/>
      <c r="M281" s="3"/>
      <c r="N281" s="3"/>
    </row>
    <row r="282" spans="2:14" x14ac:dyDescent="0.15">
      <c r="B282" s="3"/>
      <c r="C282" s="3"/>
      <c r="D282" s="3"/>
      <c r="E282" s="3"/>
      <c r="F282" s="3"/>
      <c r="G282" s="3"/>
      <c r="H282" s="3"/>
      <c r="I282" s="3"/>
      <c r="J282" s="3"/>
      <c r="K282" s="3"/>
      <c r="L282" s="3"/>
      <c r="M282" s="3"/>
      <c r="N282" s="3"/>
    </row>
    <row r="283" spans="2:14" x14ac:dyDescent="0.15">
      <c r="B283" s="3"/>
      <c r="C283" s="3"/>
      <c r="D283" s="3"/>
      <c r="E283" s="3"/>
      <c r="F283" s="3"/>
      <c r="G283" s="3"/>
      <c r="H283" s="3"/>
      <c r="I283" s="3"/>
      <c r="J283" s="3"/>
      <c r="K283" s="3"/>
      <c r="L283" s="3"/>
      <c r="M283" s="3"/>
      <c r="N283" s="3"/>
    </row>
    <row r="284" spans="2:14" x14ac:dyDescent="0.15">
      <c r="B284" s="3"/>
      <c r="C284" s="3"/>
      <c r="D284" s="3"/>
      <c r="E284" s="3"/>
      <c r="F284" s="3"/>
      <c r="G284" s="3"/>
      <c r="H284" s="3"/>
      <c r="I284" s="3"/>
      <c r="J284" s="3"/>
      <c r="K284" s="3"/>
      <c r="L284" s="3"/>
      <c r="M284" s="3"/>
      <c r="N284" s="3"/>
    </row>
    <row r="285" spans="2:14" x14ac:dyDescent="0.15">
      <c r="B285" s="3"/>
      <c r="C285" s="3"/>
      <c r="D285" s="3"/>
      <c r="E285" s="3"/>
      <c r="F285" s="3"/>
      <c r="G285" s="3"/>
      <c r="H285" s="3"/>
      <c r="I285" s="3"/>
      <c r="J285" s="3"/>
      <c r="K285" s="3"/>
      <c r="L285" s="3"/>
      <c r="M285" s="3"/>
      <c r="N285" s="3"/>
    </row>
    <row r="286" spans="2:14" x14ac:dyDescent="0.15">
      <c r="B286" s="3"/>
      <c r="C286" s="3"/>
      <c r="D286" s="3"/>
      <c r="E286" s="3"/>
      <c r="F286" s="3"/>
      <c r="G286" s="3"/>
      <c r="H286" s="3"/>
      <c r="I286" s="3"/>
      <c r="J286" s="3"/>
      <c r="K286" s="3"/>
      <c r="L286" s="3"/>
      <c r="M286" s="3"/>
      <c r="N286" s="3"/>
    </row>
    <row r="287" spans="2:14" x14ac:dyDescent="0.15">
      <c r="B287" s="3"/>
      <c r="C287" s="3"/>
      <c r="D287" s="3"/>
      <c r="E287" s="3"/>
      <c r="F287" s="3"/>
      <c r="G287" s="3"/>
      <c r="H287" s="3"/>
      <c r="I287" s="3"/>
      <c r="J287" s="3"/>
      <c r="K287" s="3"/>
      <c r="L287" s="3"/>
      <c r="M287" s="3"/>
      <c r="N287" s="3"/>
    </row>
    <row r="288" spans="2:14" x14ac:dyDescent="0.15">
      <c r="B288" s="3"/>
      <c r="C288" s="3"/>
      <c r="D288" s="3"/>
      <c r="E288" s="3"/>
      <c r="F288" s="3"/>
      <c r="G288" s="3"/>
      <c r="H288" s="3"/>
      <c r="I288" s="3"/>
      <c r="J288" s="3"/>
      <c r="K288" s="3"/>
      <c r="L288" s="3"/>
      <c r="M288" s="3"/>
      <c r="N288" s="3"/>
    </row>
    <row r="289" spans="2:14" x14ac:dyDescent="0.15">
      <c r="B289" s="3"/>
      <c r="C289" s="3"/>
      <c r="D289" s="3"/>
      <c r="E289" s="3"/>
      <c r="F289" s="3"/>
      <c r="G289" s="3"/>
      <c r="H289" s="3"/>
      <c r="I289" s="3"/>
      <c r="J289" s="3"/>
      <c r="K289" s="3"/>
      <c r="L289" s="3"/>
      <c r="M289" s="3"/>
      <c r="N289" s="3"/>
    </row>
    <row r="290" spans="2:14" x14ac:dyDescent="0.15">
      <c r="B290" s="3"/>
      <c r="C290" s="3"/>
      <c r="D290" s="3"/>
      <c r="E290" s="3"/>
      <c r="F290" s="3"/>
      <c r="G290" s="3"/>
      <c r="H290" s="3"/>
      <c r="I290" s="3"/>
      <c r="J290" s="3"/>
      <c r="K290" s="3"/>
      <c r="L290" s="3"/>
      <c r="M290" s="3"/>
      <c r="N290" s="3"/>
    </row>
    <row r="291" spans="2:14" x14ac:dyDescent="0.15">
      <c r="B291" s="3"/>
      <c r="C291" s="3"/>
      <c r="D291" s="3"/>
      <c r="E291" s="3"/>
      <c r="F291" s="3"/>
      <c r="G291" s="3"/>
      <c r="H291" s="3"/>
      <c r="I291" s="3"/>
      <c r="J291" s="3"/>
      <c r="K291" s="3"/>
      <c r="L291" s="3"/>
      <c r="M291" s="3"/>
      <c r="N291" s="3"/>
    </row>
    <row r="292" spans="2:14" x14ac:dyDescent="0.15">
      <c r="B292" s="3"/>
      <c r="C292" s="3"/>
      <c r="D292" s="3"/>
      <c r="E292" s="3"/>
      <c r="F292" s="3"/>
      <c r="G292" s="3"/>
      <c r="H292" s="3"/>
      <c r="I292" s="3"/>
      <c r="J292" s="3"/>
      <c r="K292" s="3"/>
      <c r="L292" s="3"/>
      <c r="M292" s="3"/>
      <c r="N292" s="3"/>
    </row>
    <row r="293" spans="2:14" x14ac:dyDescent="0.15">
      <c r="B293" s="3"/>
      <c r="C293" s="3"/>
      <c r="D293" s="3"/>
      <c r="E293" s="3"/>
      <c r="F293" s="3"/>
      <c r="G293" s="3"/>
      <c r="H293" s="3"/>
      <c r="I293" s="3"/>
      <c r="J293" s="3"/>
      <c r="K293" s="3"/>
      <c r="L293" s="3"/>
      <c r="M293" s="3"/>
      <c r="N293" s="3"/>
    </row>
    <row r="294" spans="2:14" x14ac:dyDescent="0.15">
      <c r="B294" s="3"/>
      <c r="C294" s="3"/>
      <c r="D294" s="3"/>
      <c r="E294" s="3"/>
      <c r="F294" s="3"/>
      <c r="G294" s="3"/>
      <c r="H294" s="3"/>
      <c r="I294" s="3"/>
      <c r="J294" s="3"/>
      <c r="K294" s="3"/>
      <c r="L294" s="3"/>
      <c r="M294" s="3"/>
      <c r="N294" s="3"/>
    </row>
    <row r="295" spans="2:14" x14ac:dyDescent="0.15">
      <c r="B295" s="3"/>
      <c r="C295" s="3"/>
      <c r="D295" s="3"/>
      <c r="E295" s="3"/>
      <c r="F295" s="3"/>
      <c r="G295" s="3"/>
      <c r="H295" s="3"/>
      <c r="I295" s="3"/>
      <c r="J295" s="3"/>
      <c r="K295" s="3"/>
      <c r="L295" s="3"/>
      <c r="M295" s="3"/>
      <c r="N295" s="3"/>
    </row>
    <row r="296" spans="2:14" x14ac:dyDescent="0.15">
      <c r="B296" s="3"/>
      <c r="C296" s="3"/>
      <c r="D296" s="3"/>
      <c r="E296" s="3"/>
      <c r="F296" s="3"/>
      <c r="G296" s="3"/>
      <c r="H296" s="3"/>
      <c r="I296" s="3"/>
      <c r="J296" s="3"/>
      <c r="K296" s="3"/>
      <c r="L296" s="3"/>
      <c r="M296" s="3"/>
      <c r="N296" s="3"/>
    </row>
    <row r="297" spans="2:14" x14ac:dyDescent="0.15">
      <c r="B297" s="3"/>
      <c r="C297" s="3"/>
      <c r="D297" s="3"/>
      <c r="E297" s="3"/>
      <c r="F297" s="3"/>
      <c r="G297" s="3"/>
      <c r="H297" s="3"/>
      <c r="I297" s="3"/>
      <c r="J297" s="3"/>
      <c r="K297" s="3"/>
      <c r="L297" s="3"/>
      <c r="M297" s="3"/>
      <c r="N297" s="3"/>
    </row>
    <row r="298" spans="2:14" x14ac:dyDescent="0.15">
      <c r="B298" s="3"/>
      <c r="C298" s="3"/>
      <c r="D298" s="3"/>
      <c r="E298" s="3"/>
      <c r="F298" s="3"/>
      <c r="G298" s="3"/>
      <c r="H298" s="3"/>
      <c r="I298" s="3"/>
      <c r="J298" s="3"/>
      <c r="K298" s="3"/>
      <c r="L298" s="3"/>
      <c r="M298" s="3"/>
      <c r="N298" s="3"/>
    </row>
    <row r="299" spans="2:14" x14ac:dyDescent="0.15">
      <c r="B299" s="3"/>
      <c r="C299" s="3"/>
      <c r="D299" s="3"/>
      <c r="E299" s="3"/>
      <c r="F299" s="3"/>
      <c r="G299" s="3"/>
      <c r="H299" s="3"/>
      <c r="I299" s="3"/>
      <c r="J299" s="3"/>
      <c r="K299" s="3"/>
      <c r="L299" s="3"/>
      <c r="M299" s="3"/>
      <c r="N299" s="3"/>
    </row>
    <row r="300" spans="2:14" x14ac:dyDescent="0.15">
      <c r="B300" s="3"/>
      <c r="C300" s="3"/>
      <c r="D300" s="3"/>
      <c r="E300" s="3"/>
      <c r="F300" s="3"/>
      <c r="G300" s="3"/>
      <c r="H300" s="3"/>
      <c r="I300" s="3"/>
      <c r="J300" s="3"/>
      <c r="K300" s="3"/>
      <c r="L300" s="3"/>
      <c r="M300" s="3"/>
      <c r="N300" s="3"/>
    </row>
    <row r="301" spans="2:14" x14ac:dyDescent="0.15">
      <c r="B301" s="3"/>
      <c r="C301" s="3"/>
      <c r="D301" s="3"/>
      <c r="E301" s="3"/>
      <c r="F301" s="3"/>
      <c r="G301" s="3"/>
      <c r="H301" s="3"/>
      <c r="I301" s="3"/>
      <c r="J301" s="3"/>
      <c r="K301" s="3"/>
      <c r="L301" s="3"/>
      <c r="M301" s="3"/>
      <c r="N301" s="3"/>
    </row>
    <row r="302" spans="2:14" x14ac:dyDescent="0.15">
      <c r="B302" s="3"/>
      <c r="C302" s="3"/>
      <c r="D302" s="3"/>
      <c r="E302" s="3"/>
      <c r="F302" s="3"/>
      <c r="G302" s="3"/>
      <c r="H302" s="3"/>
      <c r="I302" s="3"/>
      <c r="J302" s="3"/>
      <c r="K302" s="3"/>
      <c r="L302" s="3"/>
      <c r="M302" s="3"/>
      <c r="N302" s="3"/>
    </row>
    <row r="303" spans="2:14" x14ac:dyDescent="0.15">
      <c r="B303" s="3"/>
      <c r="C303" s="3"/>
      <c r="D303" s="3"/>
      <c r="E303" s="3"/>
      <c r="F303" s="3"/>
      <c r="G303" s="3"/>
      <c r="H303" s="3"/>
      <c r="I303" s="3"/>
      <c r="J303" s="3"/>
      <c r="K303" s="3"/>
      <c r="L303" s="3"/>
      <c r="M303" s="3"/>
      <c r="N303" s="3"/>
    </row>
    <row r="304" spans="2:14" x14ac:dyDescent="0.15">
      <c r="B304" s="3"/>
      <c r="C304" s="3"/>
      <c r="D304" s="3"/>
      <c r="E304" s="3"/>
      <c r="F304" s="3"/>
      <c r="G304" s="3"/>
      <c r="H304" s="3"/>
      <c r="I304" s="3"/>
      <c r="J304" s="3"/>
      <c r="K304" s="3"/>
      <c r="L304" s="3"/>
      <c r="M304" s="3"/>
      <c r="N304" s="3"/>
    </row>
    <row r="305" spans="2:21" x14ac:dyDescent="0.15">
      <c r="B305" s="3"/>
      <c r="C305" s="3"/>
      <c r="D305" s="3"/>
      <c r="E305" s="3"/>
      <c r="F305" s="3"/>
      <c r="G305" s="3"/>
      <c r="H305" s="3"/>
      <c r="I305" s="3"/>
      <c r="J305" s="3"/>
      <c r="K305" s="3"/>
      <c r="L305" s="3"/>
      <c r="M305" s="3"/>
      <c r="N305" s="3"/>
    </row>
    <row r="306" spans="2:21" x14ac:dyDescent="0.15">
      <c r="B306" s="3"/>
      <c r="C306" s="3"/>
      <c r="D306" s="3"/>
      <c r="E306" s="3"/>
      <c r="F306" s="3"/>
      <c r="G306" s="3"/>
      <c r="H306" s="3"/>
      <c r="I306" s="3"/>
      <c r="J306" s="3"/>
      <c r="K306" s="3"/>
      <c r="L306" s="3"/>
      <c r="M306" s="3"/>
      <c r="N306" s="3"/>
    </row>
    <row r="307" spans="2:21" x14ac:dyDescent="0.15">
      <c r="B307" s="3"/>
      <c r="C307" s="3"/>
      <c r="D307" s="3"/>
      <c r="E307" s="3"/>
      <c r="F307" s="3"/>
      <c r="G307" s="3"/>
      <c r="H307" s="3"/>
      <c r="I307" s="3"/>
      <c r="J307" s="3"/>
      <c r="K307" s="3"/>
      <c r="L307" s="3"/>
      <c r="M307" s="3"/>
      <c r="N307" s="3"/>
    </row>
    <row r="308" spans="2:21" x14ac:dyDescent="0.15">
      <c r="B308" s="3"/>
      <c r="C308" s="3"/>
      <c r="D308" s="3"/>
      <c r="E308" s="3"/>
      <c r="F308" s="3"/>
      <c r="G308" s="3"/>
      <c r="H308" s="3"/>
      <c r="I308" s="3"/>
      <c r="J308" s="3"/>
      <c r="K308" s="3"/>
      <c r="L308" s="3"/>
      <c r="M308" s="3"/>
      <c r="N308" s="3"/>
    </row>
    <row r="309" spans="2:21" x14ac:dyDescent="0.15">
      <c r="B309" s="3"/>
      <c r="C309" s="3"/>
      <c r="D309" s="3"/>
      <c r="E309" s="3"/>
      <c r="F309" s="3"/>
      <c r="G309" s="3"/>
      <c r="H309" s="3"/>
      <c r="I309" s="3"/>
      <c r="J309" s="3"/>
      <c r="K309" s="3"/>
      <c r="L309" s="3"/>
      <c r="M309" s="3"/>
      <c r="N309" s="3"/>
    </row>
    <row r="310" spans="2:21" x14ac:dyDescent="0.15">
      <c r="B310" s="3"/>
      <c r="C310" s="3"/>
      <c r="D310" s="3"/>
      <c r="E310" s="3"/>
      <c r="F310" s="3"/>
      <c r="G310" s="3"/>
      <c r="H310" s="3"/>
      <c r="I310" s="3"/>
      <c r="J310" s="3"/>
      <c r="K310" s="3"/>
      <c r="L310" s="3"/>
      <c r="M310" s="3"/>
      <c r="N310" s="3"/>
    </row>
    <row r="311" spans="2:21" x14ac:dyDescent="0.15">
      <c r="B311" s="3"/>
      <c r="C311" s="3"/>
      <c r="D311" s="3"/>
      <c r="E311" s="3"/>
      <c r="F311" s="3"/>
      <c r="G311" s="3"/>
      <c r="H311" s="3"/>
      <c r="I311" s="3"/>
      <c r="J311" s="3"/>
      <c r="K311" s="3"/>
      <c r="L311" s="3"/>
      <c r="M311" s="3"/>
      <c r="N311" s="3"/>
    </row>
    <row r="312" spans="2:21" x14ac:dyDescent="0.15">
      <c r="B312" s="3"/>
      <c r="C312" s="3"/>
      <c r="D312" s="3"/>
      <c r="E312" s="3"/>
      <c r="F312" s="3"/>
      <c r="G312" s="3"/>
      <c r="H312" s="3"/>
      <c r="I312" s="3"/>
      <c r="J312" s="3"/>
      <c r="K312" s="3"/>
      <c r="L312" s="3"/>
      <c r="M312" s="3"/>
      <c r="N312" s="3"/>
    </row>
    <row r="313" spans="2:21" x14ac:dyDescent="0.15">
      <c r="B313" s="3"/>
      <c r="C313" s="3"/>
      <c r="D313" s="3"/>
      <c r="E313" s="3"/>
      <c r="F313" s="3"/>
      <c r="G313" s="3"/>
      <c r="H313" s="3"/>
      <c r="I313" s="3"/>
      <c r="J313" s="3"/>
      <c r="K313" s="3"/>
      <c r="L313" s="3"/>
      <c r="M313" s="3"/>
      <c r="N313" s="3"/>
    </row>
    <row r="314" spans="2:21" x14ac:dyDescent="0.15">
      <c r="B314" s="3"/>
      <c r="C314" s="3"/>
      <c r="D314" s="3"/>
      <c r="E314" s="3"/>
      <c r="F314" s="3"/>
      <c r="G314" s="3"/>
      <c r="H314" s="3"/>
      <c r="I314" s="3"/>
      <c r="J314" s="3"/>
      <c r="K314" s="3"/>
      <c r="L314" s="3"/>
      <c r="M314" s="3"/>
      <c r="N314" s="3"/>
    </row>
    <row r="315" spans="2:21" x14ac:dyDescent="0.15">
      <c r="B315" s="3"/>
      <c r="C315" s="3"/>
      <c r="D315" s="3"/>
      <c r="E315" s="3"/>
      <c r="F315" s="3"/>
      <c r="G315" s="3"/>
      <c r="H315" s="3"/>
      <c r="I315" s="3"/>
      <c r="J315" s="3"/>
      <c r="K315" s="3"/>
      <c r="L315" s="3"/>
      <c r="M315" s="3"/>
      <c r="N315" s="3"/>
    </row>
    <row r="316" spans="2:21" x14ac:dyDescent="0.15">
      <c r="B316" s="3"/>
      <c r="C316" s="3"/>
      <c r="D316" s="3"/>
      <c r="E316" s="3"/>
      <c r="F316" s="3"/>
      <c r="G316" s="3"/>
      <c r="H316" s="3"/>
      <c r="I316" s="3"/>
      <c r="J316" s="3"/>
      <c r="K316" s="3"/>
      <c r="L316" s="3"/>
      <c r="M316" s="3"/>
      <c r="N316" s="3"/>
    </row>
    <row r="317" spans="2:21" x14ac:dyDescent="0.15">
      <c r="B317" s="2"/>
      <c r="C317" s="2"/>
      <c r="D317" s="2"/>
      <c r="E317" s="2"/>
      <c r="F317" s="2"/>
      <c r="G317" s="2"/>
      <c r="H317" s="2"/>
      <c r="I317" s="2"/>
      <c r="J317" s="2"/>
      <c r="K317" s="2"/>
      <c r="L317" s="3"/>
      <c r="M317" s="3"/>
      <c r="N317" s="3"/>
    </row>
    <row r="318" spans="2:21" x14ac:dyDescent="0.15">
      <c r="B318" s="2"/>
      <c r="C318" s="2"/>
      <c r="D318" s="2"/>
      <c r="E318" s="2"/>
      <c r="F318" s="2"/>
      <c r="G318" s="2"/>
      <c r="H318" s="2"/>
      <c r="I318" s="2"/>
      <c r="J318" s="2"/>
      <c r="K318" s="2"/>
      <c r="L318" s="3"/>
      <c r="M318" s="3"/>
      <c r="N318" s="3"/>
    </row>
    <row r="319" spans="2:21" x14ac:dyDescent="0.15">
      <c r="B319" s="2"/>
      <c r="C319" s="2"/>
      <c r="D319" s="2"/>
      <c r="E319" s="2"/>
      <c r="F319" s="2"/>
      <c r="G319" s="2"/>
      <c r="H319" s="2"/>
      <c r="I319" s="2"/>
      <c r="J319" s="2"/>
      <c r="K319" s="2"/>
      <c r="L319" s="2"/>
      <c r="M319" s="2"/>
      <c r="N319" s="2"/>
      <c r="O319" s="56"/>
      <c r="P319" s="56"/>
      <c r="Q319" s="56"/>
      <c r="R319" s="56"/>
      <c r="S319" s="56"/>
      <c r="T319" s="56"/>
      <c r="U319" s="56"/>
    </row>
    <row r="320" spans="2:21" x14ac:dyDescent="0.15">
      <c r="B320" s="2"/>
      <c r="C320" s="2"/>
      <c r="D320" s="2"/>
      <c r="E320" s="33"/>
      <c r="F320" s="33"/>
      <c r="G320" s="33"/>
      <c r="H320" s="33"/>
      <c r="I320" s="33"/>
      <c r="J320" s="33"/>
      <c r="K320" s="2"/>
      <c r="L320" s="2"/>
      <c r="M320" s="2"/>
      <c r="N320" s="2"/>
      <c r="O320" s="56"/>
      <c r="P320" s="56"/>
      <c r="Q320" s="56"/>
      <c r="R320" s="56"/>
      <c r="S320" s="56"/>
      <c r="T320" s="56"/>
      <c r="U320" s="56"/>
    </row>
    <row r="321" spans="2:21" x14ac:dyDescent="0.15">
      <c r="B321" s="2"/>
      <c r="C321" s="2"/>
      <c r="D321" s="2"/>
      <c r="E321" s="33"/>
      <c r="F321" s="33"/>
      <c r="G321" s="66"/>
      <c r="H321" s="67"/>
      <c r="I321" s="67"/>
      <c r="J321" s="67"/>
      <c r="K321" s="2"/>
      <c r="L321" s="2"/>
      <c r="M321" s="2"/>
      <c r="N321" s="2"/>
      <c r="O321" s="56"/>
      <c r="P321" s="56"/>
      <c r="Q321" s="56"/>
      <c r="R321" s="56"/>
      <c r="S321" s="56"/>
      <c r="T321" s="56"/>
      <c r="U321" s="56"/>
    </row>
    <row r="322" spans="2:21" x14ac:dyDescent="0.15">
      <c r="B322" s="2"/>
      <c r="C322" s="2"/>
      <c r="D322" s="2"/>
      <c r="E322" s="33"/>
      <c r="F322" s="33"/>
      <c r="G322" s="33"/>
      <c r="H322" s="33"/>
      <c r="I322" s="33"/>
      <c r="J322" s="33"/>
      <c r="K322" s="2"/>
      <c r="L322" s="2"/>
      <c r="M322" s="2"/>
      <c r="N322" s="2"/>
      <c r="O322" s="56"/>
      <c r="P322" s="56"/>
      <c r="Q322" s="56"/>
      <c r="R322" s="56"/>
      <c r="S322" s="56"/>
      <c r="T322" s="56"/>
      <c r="U322" s="56"/>
    </row>
    <row r="323" spans="2:21" x14ac:dyDescent="0.15">
      <c r="B323" s="2"/>
      <c r="C323" s="2"/>
      <c r="D323" s="2"/>
      <c r="E323" s="33"/>
      <c r="F323" s="33"/>
      <c r="G323" s="67"/>
      <c r="H323" s="66"/>
      <c r="I323" s="67"/>
      <c r="J323" s="67"/>
      <c r="K323" s="2"/>
      <c r="L323" s="2"/>
      <c r="M323" s="2"/>
      <c r="N323" s="2"/>
      <c r="O323" s="56"/>
      <c r="P323" s="56"/>
      <c r="Q323" s="56"/>
      <c r="R323" s="56"/>
      <c r="S323" s="56"/>
      <c r="T323" s="56"/>
      <c r="U323" s="56"/>
    </row>
    <row r="324" spans="2:21" x14ac:dyDescent="0.15">
      <c r="B324" s="2"/>
      <c r="C324" s="2"/>
      <c r="D324" s="2"/>
      <c r="E324" s="67"/>
      <c r="F324" s="67"/>
      <c r="G324" s="67"/>
      <c r="H324" s="67"/>
      <c r="I324" s="67"/>
      <c r="J324" s="67"/>
      <c r="K324" s="2"/>
      <c r="L324" s="2"/>
      <c r="M324" s="2"/>
      <c r="N324" s="2"/>
      <c r="O324" s="56"/>
      <c r="P324" s="56"/>
      <c r="Q324" s="56"/>
      <c r="R324" s="56"/>
      <c r="S324" s="56"/>
      <c r="T324" s="56"/>
      <c r="U324" s="56"/>
    </row>
    <row r="325" spans="2:21" x14ac:dyDescent="0.15">
      <c r="B325" s="2"/>
      <c r="C325" s="2"/>
      <c r="D325" s="35"/>
      <c r="E325" s="36"/>
      <c r="F325" s="35"/>
      <c r="G325" s="37"/>
      <c r="H325" s="37"/>
      <c r="I325" s="37"/>
      <c r="J325" s="37"/>
      <c r="K325" s="2"/>
      <c r="L325" s="2"/>
      <c r="M325" s="2"/>
      <c r="N325" s="2"/>
      <c r="O325" s="56"/>
      <c r="P325" s="56"/>
      <c r="Q325" s="56"/>
      <c r="R325" s="56"/>
      <c r="S325" s="56"/>
      <c r="T325" s="56"/>
      <c r="U325" s="56"/>
    </row>
    <row r="326" spans="2:21" x14ac:dyDescent="0.15">
      <c r="B326" s="2"/>
      <c r="C326" s="2"/>
      <c r="D326" s="35"/>
      <c r="E326" s="7"/>
      <c r="F326" s="35"/>
      <c r="G326" s="38"/>
      <c r="H326" s="2"/>
      <c r="I326" s="2"/>
      <c r="J326" s="2"/>
      <c r="K326" s="2"/>
      <c r="L326" s="2"/>
      <c r="M326" s="2"/>
      <c r="N326" s="2"/>
      <c r="O326" s="56"/>
      <c r="P326" s="56"/>
      <c r="Q326" s="56"/>
      <c r="R326" s="56"/>
      <c r="S326" s="56"/>
      <c r="T326" s="56"/>
      <c r="U326" s="56"/>
    </row>
    <row r="327" spans="2:21" x14ac:dyDescent="0.15">
      <c r="B327" s="2"/>
      <c r="C327" s="2"/>
      <c r="D327" s="2"/>
      <c r="E327" s="2"/>
      <c r="F327" s="2"/>
      <c r="G327" s="2"/>
      <c r="H327" s="2"/>
      <c r="I327" s="2"/>
      <c r="J327" s="2"/>
      <c r="K327" s="2"/>
      <c r="L327" s="2"/>
      <c r="M327" s="2"/>
      <c r="N327" s="2"/>
      <c r="O327" s="56"/>
      <c r="P327" s="56"/>
      <c r="Q327" s="56"/>
      <c r="R327" s="56"/>
      <c r="S327" s="56"/>
      <c r="T327" s="56"/>
      <c r="U327" s="56"/>
    </row>
    <row r="328" spans="2:21" x14ac:dyDescent="0.15">
      <c r="B328" s="2"/>
      <c r="C328" s="2"/>
      <c r="D328" s="2"/>
      <c r="E328" s="2"/>
      <c r="F328" s="2"/>
      <c r="G328" s="2"/>
      <c r="H328" s="2"/>
      <c r="I328" s="2"/>
      <c r="J328" s="2"/>
      <c r="K328" s="2"/>
      <c r="L328" s="2"/>
      <c r="M328" s="2"/>
      <c r="N328" s="2"/>
      <c r="O328" s="56"/>
      <c r="P328" s="56"/>
      <c r="Q328" s="56"/>
      <c r="R328" s="56"/>
      <c r="S328" s="56"/>
      <c r="T328" s="56"/>
      <c r="U328" s="56"/>
    </row>
    <row r="329" spans="2:21" x14ac:dyDescent="0.15">
      <c r="B329" s="2"/>
      <c r="C329" s="2"/>
      <c r="D329" s="2"/>
      <c r="E329" s="2"/>
      <c r="F329" s="2"/>
      <c r="G329" s="2"/>
      <c r="H329" s="2"/>
      <c r="I329" s="2"/>
      <c r="J329" s="2"/>
      <c r="K329" s="2"/>
      <c r="L329" s="2"/>
      <c r="M329" s="2"/>
      <c r="N329" s="2"/>
      <c r="O329" s="56"/>
      <c r="P329" s="56"/>
      <c r="Q329" s="56"/>
      <c r="R329" s="56"/>
      <c r="S329" s="56"/>
      <c r="T329" s="56"/>
      <c r="U329" s="56"/>
    </row>
    <row r="330" spans="2:21" x14ac:dyDescent="0.15">
      <c r="B330" s="2"/>
      <c r="C330" s="2"/>
      <c r="D330" s="2"/>
      <c r="E330" s="2"/>
      <c r="F330" s="2"/>
      <c r="G330" s="2"/>
      <c r="H330" s="2"/>
      <c r="I330" s="2"/>
      <c r="J330" s="2"/>
      <c r="K330" s="2"/>
      <c r="L330" s="2"/>
      <c r="M330" s="2"/>
      <c r="N330" s="37"/>
      <c r="O330" s="56"/>
      <c r="P330" s="56"/>
      <c r="Q330" s="56"/>
      <c r="R330" s="56"/>
      <c r="S330" s="56"/>
      <c r="T330" s="56"/>
      <c r="U330" s="56"/>
    </row>
    <row r="331" spans="2:21" x14ac:dyDescent="0.15">
      <c r="B331" s="2"/>
      <c r="C331" s="2"/>
      <c r="D331" s="2"/>
      <c r="E331" s="1433"/>
      <c r="F331" s="1433"/>
      <c r="G331" s="33"/>
      <c r="H331" s="33"/>
      <c r="I331" s="33"/>
      <c r="J331" s="33"/>
      <c r="K331" s="2"/>
      <c r="L331" s="2"/>
      <c r="M331" s="2"/>
      <c r="N331" s="2"/>
      <c r="O331" s="56"/>
      <c r="P331" s="56"/>
      <c r="Q331" s="56"/>
      <c r="R331" s="56"/>
      <c r="S331" s="56"/>
      <c r="T331" s="56"/>
      <c r="U331" s="56"/>
    </row>
    <row r="332" spans="2:21" x14ac:dyDescent="0.15">
      <c r="B332" s="2"/>
      <c r="C332" s="2"/>
      <c r="D332" s="2"/>
      <c r="E332" s="1433"/>
      <c r="F332" s="1433"/>
      <c r="G332" s="39"/>
      <c r="H332" s="2"/>
      <c r="I332" s="2"/>
      <c r="J332" s="2"/>
      <c r="K332" s="2"/>
      <c r="L332" s="2"/>
      <c r="M332" s="2"/>
      <c r="N332" s="34"/>
      <c r="O332" s="56"/>
      <c r="P332" s="56"/>
      <c r="Q332" s="56"/>
      <c r="R332" s="56"/>
      <c r="S332" s="56"/>
      <c r="T332" s="56"/>
      <c r="U332" s="56"/>
    </row>
    <row r="333" spans="2:21" x14ac:dyDescent="0.15">
      <c r="B333" s="2"/>
      <c r="C333" s="2"/>
      <c r="D333" s="2"/>
      <c r="E333" s="1433"/>
      <c r="F333" s="1433"/>
      <c r="G333" s="35"/>
      <c r="H333" s="35"/>
      <c r="I333" s="35"/>
      <c r="J333" s="35"/>
      <c r="K333" s="2"/>
      <c r="L333" s="2"/>
      <c r="M333" s="2"/>
      <c r="N333" s="2"/>
      <c r="O333" s="56"/>
      <c r="P333" s="56"/>
      <c r="Q333" s="56"/>
      <c r="R333" s="56"/>
      <c r="S333" s="56"/>
      <c r="T333" s="56"/>
      <c r="U333" s="56"/>
    </row>
    <row r="334" spans="2:21" x14ac:dyDescent="0.15">
      <c r="B334" s="2"/>
      <c r="C334" s="2"/>
      <c r="D334" s="2"/>
      <c r="E334" s="1433"/>
      <c r="F334" s="1433"/>
      <c r="G334" s="37"/>
      <c r="H334" s="37"/>
      <c r="I334" s="37"/>
      <c r="J334" s="2"/>
      <c r="K334" s="2"/>
      <c r="L334" s="2"/>
      <c r="M334" s="2"/>
      <c r="N334" s="2"/>
      <c r="O334" s="56"/>
      <c r="P334" s="56"/>
      <c r="Q334" s="56"/>
      <c r="R334" s="56"/>
      <c r="S334" s="56"/>
      <c r="T334" s="56"/>
      <c r="U334" s="56"/>
    </row>
    <row r="335" spans="2:21" x14ac:dyDescent="0.15">
      <c r="B335" s="2"/>
      <c r="C335" s="2"/>
      <c r="D335" s="2"/>
      <c r="E335" s="2"/>
      <c r="F335" s="2"/>
      <c r="G335" s="2"/>
      <c r="H335" s="2"/>
      <c r="I335" s="2"/>
      <c r="J335" s="2"/>
      <c r="K335" s="2"/>
      <c r="L335" s="2"/>
      <c r="M335" s="2"/>
      <c r="N335" s="2"/>
      <c r="O335" s="56"/>
      <c r="P335" s="56"/>
      <c r="Q335" s="56"/>
      <c r="R335" s="56"/>
      <c r="S335" s="56"/>
      <c r="T335" s="56"/>
      <c r="U335" s="56"/>
    </row>
    <row r="336" spans="2:21" x14ac:dyDescent="0.15">
      <c r="B336" s="2"/>
      <c r="C336" s="2"/>
      <c r="D336" s="2"/>
      <c r="E336" s="2"/>
      <c r="F336" s="35"/>
      <c r="G336" s="9"/>
      <c r="H336" s="2"/>
      <c r="I336" s="2"/>
      <c r="J336" s="2"/>
      <c r="K336" s="2"/>
      <c r="L336" s="2"/>
      <c r="M336" s="2"/>
      <c r="N336" s="2"/>
      <c r="O336" s="56"/>
      <c r="P336" s="56"/>
      <c r="Q336" s="56"/>
      <c r="R336" s="56"/>
      <c r="S336" s="56"/>
      <c r="T336" s="56"/>
      <c r="U336" s="56"/>
    </row>
    <row r="337" spans="2:21" x14ac:dyDescent="0.15">
      <c r="B337" s="2"/>
      <c r="C337" s="2"/>
      <c r="D337" s="2"/>
      <c r="E337" s="2"/>
      <c r="F337" s="35"/>
      <c r="G337" s="9"/>
      <c r="H337" s="2"/>
      <c r="I337" s="2"/>
      <c r="J337" s="2"/>
      <c r="K337" s="2"/>
      <c r="L337" s="2"/>
      <c r="M337" s="68"/>
      <c r="N337" s="2"/>
      <c r="O337" s="56"/>
      <c r="P337" s="56"/>
      <c r="Q337" s="56"/>
      <c r="R337" s="56"/>
      <c r="S337" s="56"/>
      <c r="T337" s="56"/>
      <c r="U337" s="56"/>
    </row>
    <row r="338" spans="2:21" x14ac:dyDescent="0.15">
      <c r="B338" s="2"/>
      <c r="C338" s="2"/>
      <c r="D338" s="2"/>
      <c r="E338" s="2"/>
      <c r="F338" s="35"/>
      <c r="G338" s="9"/>
      <c r="H338" s="2"/>
      <c r="I338" s="2"/>
      <c r="J338" s="2"/>
      <c r="K338" s="2"/>
      <c r="L338" s="2"/>
      <c r="M338" s="68"/>
      <c r="N338" s="2"/>
      <c r="O338" s="56"/>
      <c r="P338" s="56"/>
      <c r="Q338" s="56"/>
      <c r="R338" s="56"/>
      <c r="S338" s="56"/>
      <c r="T338" s="56"/>
      <c r="U338" s="56"/>
    </row>
    <row r="339" spans="2:21" x14ac:dyDescent="0.15">
      <c r="B339" s="2"/>
      <c r="C339" s="2"/>
      <c r="D339" s="2"/>
      <c r="E339" s="2"/>
      <c r="F339" s="2"/>
      <c r="G339" s="2"/>
      <c r="H339" s="2"/>
      <c r="I339" s="2"/>
      <c r="J339" s="2"/>
      <c r="K339" s="2"/>
      <c r="L339" s="3"/>
      <c r="M339" s="3"/>
      <c r="N339" s="3"/>
    </row>
    <row r="340" spans="2:21" x14ac:dyDescent="0.15">
      <c r="B340" s="2"/>
      <c r="C340" s="2"/>
      <c r="D340" s="2"/>
      <c r="E340" s="2"/>
      <c r="F340" s="2"/>
      <c r="G340" s="2"/>
      <c r="H340" s="2"/>
      <c r="I340" s="2"/>
      <c r="J340" s="2"/>
      <c r="K340" s="2"/>
      <c r="L340" s="3"/>
      <c r="M340" s="3"/>
      <c r="N340" s="3"/>
    </row>
    <row r="341" spans="2:21" x14ac:dyDescent="0.15">
      <c r="B341" s="2"/>
      <c r="C341" s="2"/>
      <c r="D341" s="2"/>
      <c r="E341" s="2"/>
      <c r="F341" s="2"/>
      <c r="G341" s="35"/>
      <c r="H341" s="40"/>
      <c r="I341" s="2"/>
      <c r="J341" s="2"/>
      <c r="K341" s="2"/>
      <c r="L341" s="3"/>
      <c r="M341" s="3"/>
      <c r="N341" s="3"/>
    </row>
    <row r="342" spans="2:21" x14ac:dyDescent="0.15">
      <c r="B342" s="2"/>
      <c r="C342" s="2"/>
      <c r="D342" s="2"/>
      <c r="E342" s="2"/>
      <c r="F342" s="2"/>
      <c r="G342" s="35"/>
      <c r="H342" s="40"/>
      <c r="I342" s="41"/>
      <c r="J342" s="2"/>
      <c r="K342" s="2"/>
      <c r="L342" s="3"/>
      <c r="M342" s="3"/>
      <c r="N342" s="3"/>
    </row>
    <row r="343" spans="2:21" x14ac:dyDescent="0.15">
      <c r="B343" s="2"/>
      <c r="C343" s="2"/>
      <c r="D343" s="35"/>
      <c r="E343" s="42"/>
      <c r="F343" s="2"/>
      <c r="G343" s="2"/>
      <c r="H343" s="2"/>
      <c r="I343" s="2"/>
      <c r="J343" s="2"/>
      <c r="K343" s="2"/>
      <c r="L343" s="3"/>
      <c r="M343" s="3"/>
      <c r="N343" s="3"/>
    </row>
    <row r="344" spans="2:21" x14ac:dyDescent="0.15">
      <c r="B344" s="2"/>
      <c r="C344" s="2"/>
      <c r="D344" s="2"/>
      <c r="E344" s="2"/>
      <c r="F344" s="2"/>
      <c r="G344" s="2"/>
      <c r="H344" s="2"/>
      <c r="I344" s="2"/>
      <c r="J344" s="2"/>
      <c r="K344" s="2"/>
      <c r="L344" s="3"/>
      <c r="M344" s="3"/>
      <c r="N344" s="3"/>
    </row>
    <row r="345" spans="2:21" x14ac:dyDescent="0.15">
      <c r="B345" s="2"/>
      <c r="C345" s="2"/>
      <c r="D345" s="2"/>
      <c r="E345" s="2"/>
      <c r="F345" s="2"/>
      <c r="G345" s="2"/>
      <c r="H345" s="2"/>
      <c r="I345" s="2"/>
      <c r="J345" s="2"/>
      <c r="K345" s="2"/>
      <c r="L345" s="3"/>
      <c r="M345" s="3"/>
      <c r="N345" s="3"/>
    </row>
    <row r="346" spans="2:21" x14ac:dyDescent="0.15">
      <c r="B346" s="2"/>
      <c r="C346" s="2"/>
      <c r="D346" s="2"/>
      <c r="E346" s="2"/>
      <c r="F346" s="2"/>
      <c r="G346" s="2"/>
      <c r="H346" s="2"/>
      <c r="I346" s="2"/>
      <c r="J346" s="2"/>
      <c r="K346" s="2"/>
      <c r="L346" s="3"/>
      <c r="M346" s="3"/>
      <c r="N346" s="3"/>
    </row>
    <row r="347" spans="2:21" x14ac:dyDescent="0.15">
      <c r="B347" s="2"/>
      <c r="C347" s="2"/>
      <c r="D347" s="2"/>
      <c r="E347" s="43"/>
      <c r="F347" s="35"/>
      <c r="G347" s="2"/>
      <c r="H347" s="2"/>
      <c r="I347" s="2"/>
      <c r="J347" s="2"/>
      <c r="K347" s="2"/>
      <c r="L347" s="3"/>
      <c r="M347" s="3"/>
      <c r="N347" s="3"/>
    </row>
    <row r="348" spans="2:21" x14ac:dyDescent="0.15">
      <c r="B348" s="2"/>
      <c r="C348" s="2"/>
      <c r="D348" s="2"/>
      <c r="E348" s="2"/>
      <c r="F348" s="35"/>
      <c r="G348" s="2"/>
      <c r="H348" s="2"/>
      <c r="I348" s="2"/>
      <c r="J348" s="2"/>
      <c r="K348" s="2"/>
      <c r="L348" s="3"/>
      <c r="M348" s="3"/>
      <c r="N348" s="3"/>
    </row>
    <row r="349" spans="2:21" x14ac:dyDescent="0.15">
      <c r="B349" s="2"/>
      <c r="C349" s="2"/>
      <c r="D349" s="2"/>
      <c r="E349" s="2"/>
      <c r="F349" s="2"/>
      <c r="G349" s="2"/>
      <c r="H349" s="2"/>
      <c r="I349" s="2"/>
      <c r="J349" s="2"/>
      <c r="K349" s="2"/>
      <c r="L349" s="3"/>
      <c r="M349" s="3"/>
      <c r="N349" s="3"/>
    </row>
    <row r="350" spans="2:21" x14ac:dyDescent="0.15">
      <c r="B350" s="2"/>
      <c r="C350" s="2"/>
      <c r="D350" s="2"/>
      <c r="E350" s="2"/>
      <c r="F350" s="2"/>
      <c r="G350" s="2"/>
      <c r="H350" s="2"/>
      <c r="I350" s="2"/>
      <c r="J350" s="2"/>
      <c r="K350" s="2"/>
      <c r="L350" s="3"/>
      <c r="M350" s="3"/>
      <c r="N350" s="3"/>
    </row>
    <row r="351" spans="2:21" x14ac:dyDescent="0.15">
      <c r="B351" s="2"/>
      <c r="C351" s="2"/>
      <c r="D351" s="2"/>
      <c r="E351" s="2"/>
      <c r="F351" s="2"/>
      <c r="G351" s="2"/>
      <c r="H351" s="2"/>
      <c r="I351" s="2"/>
      <c r="J351" s="2"/>
      <c r="K351" s="2"/>
      <c r="L351" s="3"/>
      <c r="M351" s="3"/>
      <c r="N351" s="3"/>
    </row>
    <row r="352" spans="2:21" x14ac:dyDescent="0.15">
      <c r="B352" s="2"/>
      <c r="C352" s="2"/>
      <c r="D352" s="2"/>
      <c r="E352" s="2"/>
      <c r="F352" s="2"/>
      <c r="G352" s="2"/>
      <c r="H352" s="2"/>
      <c r="I352" s="2"/>
      <c r="J352" s="2"/>
      <c r="K352" s="2"/>
      <c r="L352" s="3"/>
      <c r="M352" s="3"/>
      <c r="N352" s="3"/>
    </row>
    <row r="353" spans="2:14" x14ac:dyDescent="0.15">
      <c r="B353" s="2"/>
      <c r="C353" s="2"/>
      <c r="D353" s="2"/>
      <c r="E353" s="2"/>
      <c r="F353" s="2"/>
      <c r="G353" s="2"/>
      <c r="H353" s="2"/>
      <c r="I353" s="2"/>
      <c r="J353" s="2"/>
      <c r="K353" s="2"/>
      <c r="L353" s="3"/>
      <c r="M353" s="3"/>
      <c r="N353" s="3"/>
    </row>
    <row r="354" spans="2:14" x14ac:dyDescent="0.15">
      <c r="B354" s="56"/>
      <c r="C354" s="56"/>
      <c r="D354" s="56"/>
      <c r="E354" s="56"/>
      <c r="F354" s="56"/>
      <c r="G354" s="56"/>
      <c r="H354" s="56"/>
      <c r="I354" s="56"/>
      <c r="J354" s="56"/>
      <c r="K354" s="56"/>
    </row>
    <row r="355" spans="2:14" x14ac:dyDescent="0.15">
      <c r="B355" s="56"/>
      <c r="C355" s="56"/>
      <c r="D355" s="56"/>
      <c r="E355" s="56"/>
      <c r="F355" s="56"/>
      <c r="G355" s="56"/>
      <c r="H355" s="56"/>
      <c r="I355" s="56"/>
      <c r="J355" s="56"/>
      <c r="K355" s="56"/>
    </row>
    <row r="356" spans="2:14" x14ac:dyDescent="0.15">
      <c r="B356" s="9"/>
      <c r="C356" s="9"/>
      <c r="D356" s="9"/>
      <c r="E356" s="9"/>
      <c r="F356" s="9"/>
      <c r="G356" s="9"/>
      <c r="H356" s="9"/>
      <c r="I356" s="9"/>
      <c r="J356" s="56"/>
      <c r="K356" s="56"/>
    </row>
    <row r="357" spans="2:14" x14ac:dyDescent="0.15">
      <c r="B357" s="9"/>
      <c r="C357" s="9"/>
      <c r="D357" s="61"/>
      <c r="E357" s="9"/>
      <c r="F357" s="9"/>
      <c r="G357" s="9"/>
      <c r="H357" s="9"/>
      <c r="I357" s="9"/>
      <c r="J357" s="56"/>
      <c r="K357" s="56"/>
    </row>
    <row r="358" spans="2:14" x14ac:dyDescent="0.15">
      <c r="B358" s="9"/>
      <c r="C358" s="9"/>
      <c r="D358" s="61"/>
      <c r="E358" s="9"/>
      <c r="F358" s="9"/>
      <c r="G358" s="9"/>
      <c r="H358" s="9"/>
      <c r="I358" s="9"/>
      <c r="J358" s="56"/>
      <c r="K358" s="56"/>
    </row>
    <row r="359" spans="2:14" x14ac:dyDescent="0.15">
      <c r="B359" s="9"/>
      <c r="C359" s="9"/>
      <c r="D359" s="61"/>
      <c r="E359" s="9"/>
      <c r="F359" s="9"/>
      <c r="G359" s="9"/>
      <c r="H359" s="9"/>
      <c r="I359" s="9"/>
      <c r="J359" s="56"/>
      <c r="K359" s="56"/>
    </row>
    <row r="360" spans="2:14" x14ac:dyDescent="0.15">
      <c r="B360" s="9"/>
      <c r="C360" s="9"/>
      <c r="D360" s="9"/>
      <c r="E360" s="9"/>
      <c r="F360" s="9"/>
      <c r="G360" s="9"/>
      <c r="H360" s="9"/>
      <c r="I360" s="9"/>
      <c r="J360" s="56"/>
      <c r="K360" s="56"/>
    </row>
    <row r="361" spans="2:14" x14ac:dyDescent="0.15">
      <c r="B361" s="9"/>
      <c r="C361" s="9"/>
      <c r="D361" s="9"/>
      <c r="E361" s="9"/>
      <c r="F361" s="9"/>
      <c r="G361" s="9"/>
      <c r="H361" s="9"/>
      <c r="I361" s="9"/>
      <c r="J361" s="56"/>
      <c r="K361" s="56"/>
    </row>
    <row r="362" spans="2:14" x14ac:dyDescent="0.15">
      <c r="B362" s="44"/>
      <c r="C362" s="28"/>
      <c r="D362" s="45"/>
      <c r="E362" s="9"/>
      <c r="F362" s="28"/>
      <c r="G362" s="45"/>
      <c r="H362" s="28"/>
      <c r="I362" s="28"/>
      <c r="J362" s="56"/>
      <c r="K362" s="56"/>
    </row>
    <row r="363" spans="2:14" x14ac:dyDescent="0.15">
      <c r="B363" s="28"/>
      <c r="C363" s="28"/>
      <c r="D363" s="45"/>
      <c r="E363" s="28"/>
      <c r="F363" s="28"/>
      <c r="G363" s="28"/>
      <c r="H363" s="28"/>
      <c r="I363" s="28"/>
      <c r="J363" s="56"/>
      <c r="K363" s="56"/>
    </row>
    <row r="364" spans="2:14" x14ac:dyDescent="0.15">
      <c r="B364" s="9"/>
      <c r="C364" s="28"/>
      <c r="D364" s="28"/>
      <c r="E364" s="28"/>
      <c r="F364" s="28"/>
      <c r="G364" s="28"/>
      <c r="H364" s="28"/>
      <c r="I364" s="28"/>
      <c r="J364" s="56"/>
      <c r="K364" s="56"/>
    </row>
    <row r="365" spans="2:14" x14ac:dyDescent="0.15">
      <c r="B365" s="9"/>
      <c r="C365" s="28"/>
      <c r="D365" s="28"/>
      <c r="E365" s="28"/>
      <c r="F365" s="28"/>
      <c r="G365" s="28"/>
      <c r="H365" s="28"/>
      <c r="I365" s="28"/>
      <c r="J365" s="56"/>
      <c r="K365" s="56"/>
    </row>
    <row r="366" spans="2:14" x14ac:dyDescent="0.15">
      <c r="B366" s="9"/>
      <c r="C366" s="28"/>
      <c r="D366" s="28"/>
      <c r="E366" s="28"/>
      <c r="F366" s="28"/>
      <c r="G366" s="28"/>
      <c r="H366" s="28"/>
      <c r="I366" s="46"/>
      <c r="J366" s="56"/>
      <c r="K366" s="56"/>
    </row>
    <row r="367" spans="2:14" x14ac:dyDescent="0.15">
      <c r="B367" s="56"/>
      <c r="C367" s="56"/>
      <c r="D367" s="56"/>
      <c r="E367" s="56"/>
      <c r="F367" s="56"/>
      <c r="G367" s="56"/>
      <c r="H367" s="56"/>
      <c r="I367" s="56"/>
      <c r="J367" s="56"/>
      <c r="K367" s="56"/>
    </row>
    <row r="368" spans="2:14" x14ac:dyDescent="0.15">
      <c r="B368" s="56"/>
      <c r="C368" s="2"/>
      <c r="D368" s="2"/>
      <c r="E368" s="2"/>
      <c r="F368" s="2"/>
      <c r="G368" s="56"/>
      <c r="H368" s="56"/>
      <c r="I368" s="56"/>
      <c r="J368" s="56"/>
      <c r="K368" s="56"/>
    </row>
    <row r="369" spans="2:11" x14ac:dyDescent="0.15">
      <c r="B369" s="56"/>
      <c r="C369" s="2"/>
      <c r="D369" s="2"/>
      <c r="E369" s="2"/>
      <c r="F369" s="2"/>
      <c r="G369" s="56"/>
      <c r="H369" s="56"/>
      <c r="I369" s="56"/>
      <c r="J369" s="56"/>
      <c r="K369" s="56"/>
    </row>
    <row r="370" spans="2:11" x14ac:dyDescent="0.15">
      <c r="B370" s="56"/>
      <c r="C370" s="29"/>
      <c r="D370" s="2"/>
      <c r="E370" s="2"/>
      <c r="F370" s="2"/>
      <c r="G370" s="56"/>
      <c r="H370" s="56"/>
      <c r="I370" s="56"/>
      <c r="J370" s="56"/>
      <c r="K370" s="56"/>
    </row>
    <row r="371" spans="2:11" x14ac:dyDescent="0.15">
      <c r="B371" s="56"/>
      <c r="C371" s="2"/>
      <c r="D371" s="2"/>
      <c r="E371" s="2"/>
      <c r="F371" s="2"/>
      <c r="G371" s="56"/>
      <c r="H371" s="56"/>
      <c r="I371" s="56"/>
      <c r="J371" s="56"/>
      <c r="K371" s="56"/>
    </row>
    <row r="372" spans="2:11" x14ac:dyDescent="0.15">
      <c r="B372" s="56"/>
      <c r="C372" s="2"/>
      <c r="D372" s="2"/>
      <c r="E372" s="2"/>
      <c r="F372" s="2"/>
      <c r="G372" s="56"/>
      <c r="H372" s="56"/>
      <c r="I372" s="56"/>
      <c r="J372" s="56"/>
      <c r="K372" s="56"/>
    </row>
    <row r="373" spans="2:11" x14ac:dyDescent="0.15">
      <c r="B373" s="56"/>
      <c r="C373" s="2"/>
      <c r="D373" s="2"/>
      <c r="E373" s="2"/>
      <c r="F373" s="2"/>
      <c r="G373" s="56"/>
      <c r="H373" s="56"/>
      <c r="I373" s="56"/>
      <c r="J373" s="56"/>
      <c r="K373" s="56"/>
    </row>
    <row r="374" spans="2:11" x14ac:dyDescent="0.15">
      <c r="B374" s="56"/>
      <c r="C374" s="2"/>
      <c r="D374" s="2"/>
      <c r="E374" s="2"/>
      <c r="F374" s="2"/>
      <c r="G374" s="56"/>
      <c r="H374" s="56"/>
      <c r="I374" s="56"/>
      <c r="J374" s="56"/>
      <c r="K374" s="56"/>
    </row>
    <row r="375" spans="2:11" x14ac:dyDescent="0.15">
      <c r="B375" s="56"/>
      <c r="C375" s="2"/>
      <c r="D375" s="2"/>
      <c r="E375" s="2"/>
      <c r="F375" s="2"/>
      <c r="G375" s="56"/>
      <c r="H375" s="56"/>
      <c r="I375" s="56"/>
      <c r="J375" s="56"/>
      <c r="K375" s="56"/>
    </row>
    <row r="376" spans="2:11" x14ac:dyDescent="0.15">
      <c r="B376" s="56"/>
      <c r="C376" s="2"/>
      <c r="D376" s="56"/>
      <c r="E376" s="56"/>
      <c r="F376" s="2"/>
      <c r="G376" s="56"/>
      <c r="H376" s="56"/>
      <c r="I376" s="56"/>
      <c r="J376" s="56"/>
      <c r="K376" s="56"/>
    </row>
    <row r="377" spans="2:11" x14ac:dyDescent="0.15">
      <c r="B377" s="56"/>
      <c r="C377" s="2"/>
      <c r="D377" s="2"/>
      <c r="E377" s="2"/>
      <c r="F377" s="2"/>
      <c r="G377" s="56"/>
      <c r="H377" s="56"/>
      <c r="I377" s="56"/>
      <c r="J377" s="56"/>
      <c r="K377" s="56"/>
    </row>
    <row r="378" spans="2:11" x14ac:dyDescent="0.15">
      <c r="B378" s="56"/>
      <c r="C378" s="2"/>
      <c r="D378" s="2"/>
      <c r="E378" s="2"/>
      <c r="F378" s="2"/>
      <c r="G378" s="56"/>
      <c r="H378" s="56"/>
      <c r="I378" s="56"/>
      <c r="J378" s="56"/>
      <c r="K378" s="56"/>
    </row>
    <row r="379" spans="2:11" x14ac:dyDescent="0.15">
      <c r="B379" s="56"/>
      <c r="C379" s="2"/>
      <c r="D379" s="2"/>
      <c r="E379" s="2"/>
      <c r="F379" s="56"/>
      <c r="G379" s="56"/>
      <c r="H379" s="56"/>
      <c r="I379" s="56"/>
      <c r="J379" s="56"/>
      <c r="K379" s="56"/>
    </row>
    <row r="380" spans="2:11" x14ac:dyDescent="0.15">
      <c r="B380" s="56"/>
      <c r="C380" s="2"/>
      <c r="D380" s="56"/>
      <c r="E380" s="56"/>
      <c r="F380" s="56"/>
      <c r="G380" s="56"/>
      <c r="H380" s="56"/>
      <c r="I380" s="56"/>
      <c r="J380" s="56"/>
      <c r="K380" s="56"/>
    </row>
    <row r="381" spans="2:11" x14ac:dyDescent="0.15">
      <c r="B381" s="56"/>
      <c r="C381" s="56"/>
      <c r="D381" s="56"/>
      <c r="E381" s="56"/>
      <c r="F381" s="56"/>
      <c r="G381" s="56"/>
      <c r="H381" s="56"/>
      <c r="I381" s="56"/>
      <c r="J381" s="56"/>
      <c r="K381" s="56"/>
    </row>
    <row r="382" spans="2:11" x14ac:dyDescent="0.15">
      <c r="B382" s="56"/>
      <c r="C382" s="56"/>
      <c r="D382" s="56"/>
      <c r="E382" s="56"/>
      <c r="F382" s="56"/>
      <c r="G382" s="56"/>
      <c r="H382" s="56"/>
      <c r="I382" s="56"/>
      <c r="J382" s="56"/>
      <c r="K382" s="56"/>
    </row>
    <row r="383" spans="2:11" x14ac:dyDescent="0.15">
      <c r="B383" s="56"/>
      <c r="C383" s="56"/>
      <c r="D383" s="56"/>
      <c r="E383" s="56"/>
      <c r="F383" s="56"/>
      <c r="G383" s="56"/>
      <c r="H383" s="56"/>
      <c r="I383" s="56"/>
      <c r="J383" s="56"/>
      <c r="K383" s="56"/>
    </row>
    <row r="389" spans="2:13" x14ac:dyDescent="0.15">
      <c r="B389" s="135"/>
      <c r="C389" s="135"/>
      <c r="D389" s="135"/>
      <c r="E389" s="135"/>
      <c r="F389" s="135"/>
      <c r="G389" s="135"/>
      <c r="H389" s="135"/>
      <c r="I389" s="135"/>
      <c r="J389" s="135"/>
      <c r="K389" s="135"/>
      <c r="L389" s="135"/>
      <c r="M389" s="135"/>
    </row>
    <row r="390" spans="2:13" x14ac:dyDescent="0.15">
      <c r="B390" s="135"/>
      <c r="C390" s="135"/>
      <c r="D390" s="135"/>
      <c r="E390" s="135"/>
      <c r="F390" s="135"/>
      <c r="G390" s="135"/>
      <c r="H390" s="135"/>
      <c r="I390" s="135"/>
      <c r="J390" s="135"/>
      <c r="K390" s="135"/>
      <c r="L390" s="135"/>
      <c r="M390" s="135"/>
    </row>
    <row r="391" spans="2:13" x14ac:dyDescent="0.15">
      <c r="B391" s="135"/>
      <c r="C391" s="135"/>
      <c r="D391" s="135"/>
      <c r="E391" s="135"/>
      <c r="F391" s="135"/>
      <c r="G391" s="135"/>
      <c r="H391" s="135"/>
      <c r="I391" s="135"/>
      <c r="J391" s="135"/>
      <c r="K391" s="135"/>
      <c r="L391" s="135"/>
      <c r="M391" s="135"/>
    </row>
    <row r="392" spans="2:13" x14ac:dyDescent="0.15">
      <c r="B392" s="135"/>
      <c r="C392" s="135"/>
      <c r="D392" s="135"/>
      <c r="E392" s="135"/>
      <c r="F392" s="135"/>
      <c r="G392" s="135"/>
      <c r="H392" s="135"/>
      <c r="I392" s="135"/>
      <c r="J392" s="135"/>
      <c r="K392" s="135"/>
      <c r="L392" s="135"/>
      <c r="M392" s="135"/>
    </row>
    <row r="393" spans="2:13" x14ac:dyDescent="0.15">
      <c r="B393" s="135"/>
      <c r="C393" s="135"/>
      <c r="D393" s="135"/>
      <c r="E393" s="135"/>
      <c r="F393" s="135"/>
      <c r="G393" s="135"/>
      <c r="H393" s="135"/>
      <c r="I393" s="135"/>
      <c r="J393" s="135"/>
      <c r="K393" s="135"/>
      <c r="L393" s="135"/>
      <c r="M393" s="135"/>
    </row>
    <row r="394" spans="2:13" hidden="1" x14ac:dyDescent="0.15">
      <c r="B394" s="135"/>
      <c r="C394" s="135" t="s">
        <v>85</v>
      </c>
      <c r="D394" s="135"/>
      <c r="E394" s="135"/>
      <c r="F394" s="135"/>
      <c r="G394" s="135"/>
      <c r="H394" s="135"/>
      <c r="I394" s="135"/>
      <c r="J394" s="135"/>
      <c r="K394" s="135"/>
      <c r="L394" s="135"/>
      <c r="M394" s="135"/>
    </row>
    <row r="395" spans="2:13" hidden="1" x14ac:dyDescent="0.15">
      <c r="B395" s="135"/>
      <c r="C395" s="135" t="s">
        <v>86</v>
      </c>
      <c r="D395" s="135"/>
      <c r="E395" s="135"/>
      <c r="F395" s="135"/>
      <c r="G395" s="135"/>
      <c r="H395" s="135"/>
      <c r="I395" s="135"/>
      <c r="J395" s="135"/>
      <c r="K395" s="135"/>
      <c r="L395" s="135"/>
      <c r="M395" s="135"/>
    </row>
    <row r="396" spans="2:13" hidden="1" x14ac:dyDescent="0.15">
      <c r="B396" s="135"/>
      <c r="C396" s="135" t="e">
        <f>+VALUE(RIGHT(#REF!,3))</f>
        <v>#REF!</v>
      </c>
      <c r="D396" s="135"/>
      <c r="E396" s="135"/>
      <c r="F396" s="135"/>
      <c r="G396" s="135"/>
      <c r="H396" s="135"/>
      <c r="I396" s="135"/>
      <c r="J396" s="135"/>
      <c r="K396" s="135"/>
      <c r="L396" s="135"/>
      <c r="M396" s="135"/>
    </row>
    <row r="397" spans="2:13" hidden="1" x14ac:dyDescent="0.15">
      <c r="B397" s="135"/>
      <c r="C397" s="135"/>
      <c r="D397" s="135"/>
      <c r="E397" s="135"/>
      <c r="F397" s="135"/>
      <c r="G397" s="135"/>
      <c r="H397" s="135"/>
      <c r="I397" s="135"/>
      <c r="J397" s="135"/>
      <c r="K397" s="135"/>
      <c r="L397" s="135"/>
      <c r="M397" s="135"/>
    </row>
    <row r="398" spans="2:13" hidden="1" x14ac:dyDescent="0.15">
      <c r="B398" s="135"/>
      <c r="C398" s="135"/>
      <c r="D398" s="135"/>
      <c r="E398" s="135"/>
      <c r="F398" s="135"/>
      <c r="G398" s="135"/>
      <c r="H398" s="135"/>
      <c r="I398" s="135"/>
      <c r="J398" s="135"/>
      <c r="K398" s="135"/>
      <c r="L398" s="135"/>
      <c r="M398" s="135"/>
    </row>
    <row r="399" spans="2:13" hidden="1" x14ac:dyDescent="0.15">
      <c r="B399" s="70" t="s">
        <v>87</v>
      </c>
      <c r="C399" s="80"/>
      <c r="D399" s="80"/>
      <c r="E399" s="135"/>
      <c r="F399" s="135"/>
      <c r="G399" s="135"/>
      <c r="H399" s="135"/>
      <c r="I399" s="135"/>
      <c r="J399" s="135"/>
      <c r="K399" s="135"/>
      <c r="L399" s="135"/>
      <c r="M399" s="135"/>
    </row>
    <row r="400" spans="2:13" hidden="1" x14ac:dyDescent="0.15">
      <c r="B400" s="136" t="s">
        <v>88</v>
      </c>
      <c r="C400" s="137" t="s">
        <v>297</v>
      </c>
      <c r="D400" s="137"/>
      <c r="E400" s="138"/>
      <c r="F400" s="138" t="s">
        <v>159</v>
      </c>
      <c r="G400" s="138"/>
      <c r="H400" s="138"/>
      <c r="I400" s="138"/>
      <c r="J400" s="138"/>
      <c r="K400" s="138"/>
      <c r="L400" s="138"/>
      <c r="M400" s="138"/>
    </row>
    <row r="401" spans="2:13" hidden="1" x14ac:dyDescent="0.15">
      <c r="B401" s="138"/>
      <c r="C401" s="137" t="s">
        <v>298</v>
      </c>
      <c r="D401" s="137"/>
      <c r="E401" s="138"/>
      <c r="F401" s="138" t="s">
        <v>160</v>
      </c>
      <c r="G401" s="138"/>
      <c r="H401" s="138"/>
      <c r="I401" s="138"/>
      <c r="J401" s="138"/>
      <c r="K401" s="138"/>
      <c r="L401" s="138"/>
      <c r="M401" s="138"/>
    </row>
    <row r="402" spans="2:13" hidden="1" x14ac:dyDescent="0.15">
      <c r="B402" s="138"/>
      <c r="C402" s="137" t="s">
        <v>299</v>
      </c>
      <c r="D402" s="137"/>
      <c r="E402" s="138"/>
      <c r="F402" s="138"/>
      <c r="G402" s="138"/>
      <c r="H402" s="138"/>
      <c r="I402" s="138"/>
      <c r="J402" s="138"/>
      <c r="K402" s="138"/>
      <c r="L402" s="138"/>
      <c r="M402" s="138"/>
    </row>
    <row r="403" spans="2:13" hidden="1" x14ac:dyDescent="0.15">
      <c r="B403" s="138"/>
      <c r="C403" s="137" t="s">
        <v>300</v>
      </c>
      <c r="D403" s="137"/>
      <c r="E403" s="138"/>
      <c r="F403" s="138"/>
      <c r="G403" s="138"/>
      <c r="H403" s="138"/>
      <c r="I403" s="138"/>
      <c r="J403" s="138"/>
      <c r="K403" s="138"/>
      <c r="L403" s="138"/>
      <c r="M403" s="138"/>
    </row>
    <row r="404" spans="2:13" hidden="1" x14ac:dyDescent="0.15">
      <c r="B404" s="138"/>
      <c r="C404" s="137" t="s">
        <v>301</v>
      </c>
      <c r="D404" s="137"/>
      <c r="E404" s="138"/>
      <c r="F404" s="138" t="s">
        <v>185</v>
      </c>
      <c r="G404" s="138"/>
      <c r="H404" s="138"/>
      <c r="I404" s="138"/>
      <c r="J404" s="138"/>
      <c r="K404" s="138"/>
      <c r="L404" s="138"/>
      <c r="M404" s="138"/>
    </row>
    <row r="405" spans="2:13" hidden="1" x14ac:dyDescent="0.15">
      <c r="B405" s="139"/>
      <c r="C405" s="137"/>
      <c r="D405" s="137"/>
      <c r="E405" s="138"/>
      <c r="F405" s="138"/>
      <c r="G405" s="138"/>
      <c r="H405" s="138"/>
      <c r="I405" s="138"/>
      <c r="J405" s="138"/>
      <c r="K405" s="138"/>
      <c r="L405" s="138"/>
      <c r="M405" s="138"/>
    </row>
    <row r="406" spans="2:13" hidden="1" x14ac:dyDescent="0.15">
      <c r="B406" s="99" t="s">
        <v>5</v>
      </c>
      <c r="C406" s="140" t="s">
        <v>186</v>
      </c>
      <c r="D406" s="140"/>
      <c r="E406" s="138"/>
      <c r="F406" s="138"/>
      <c r="G406" s="138"/>
      <c r="H406" s="138"/>
      <c r="I406" s="138"/>
      <c r="J406" s="138"/>
      <c r="K406" s="138"/>
      <c r="L406" s="138"/>
      <c r="M406" s="138"/>
    </row>
    <row r="407" spans="2:13" hidden="1" x14ac:dyDescent="0.15">
      <c r="B407" s="140" t="s">
        <v>89</v>
      </c>
      <c r="C407" s="140" t="s">
        <v>187</v>
      </c>
      <c r="D407" s="140"/>
      <c r="E407" s="138"/>
      <c r="F407" s="138"/>
      <c r="G407" s="138"/>
      <c r="H407" s="138"/>
      <c r="I407" s="138"/>
      <c r="J407" s="138"/>
      <c r="K407" s="138"/>
      <c r="L407" s="138"/>
      <c r="M407" s="138"/>
    </row>
    <row r="408" spans="2:13" hidden="1" x14ac:dyDescent="0.15">
      <c r="B408" s="140"/>
      <c r="C408" s="140"/>
      <c r="D408" s="140"/>
      <c r="E408" s="138"/>
      <c r="F408" s="138"/>
      <c r="G408" s="138"/>
      <c r="H408" s="138"/>
      <c r="I408" s="138"/>
      <c r="J408" s="138"/>
      <c r="K408" s="138"/>
      <c r="L408" s="138"/>
      <c r="M408" s="138"/>
    </row>
    <row r="409" spans="2:13" hidden="1" x14ac:dyDescent="0.15">
      <c r="B409" s="139" t="s">
        <v>90</v>
      </c>
      <c r="C409" s="137" t="s">
        <v>302</v>
      </c>
      <c r="D409" s="137"/>
      <c r="E409" s="138"/>
      <c r="F409" s="137"/>
      <c r="G409" s="138"/>
      <c r="H409" s="138"/>
      <c r="I409" s="138"/>
      <c r="J409" s="138"/>
      <c r="K409" s="138"/>
      <c r="L409" s="138"/>
      <c r="M409" s="138"/>
    </row>
    <row r="410" spans="2:13" hidden="1" x14ac:dyDescent="0.15">
      <c r="B410" s="139" t="s">
        <v>91</v>
      </c>
      <c r="C410" s="137" t="s">
        <v>303</v>
      </c>
      <c r="D410" s="137"/>
      <c r="E410" s="138"/>
      <c r="F410" s="137"/>
      <c r="G410" s="138"/>
      <c r="H410" s="138"/>
      <c r="I410" s="138"/>
      <c r="J410" s="138"/>
      <c r="K410" s="138"/>
      <c r="L410" s="138"/>
      <c r="M410" s="138"/>
    </row>
    <row r="411" spans="2:13" hidden="1" x14ac:dyDescent="0.15">
      <c r="B411" s="139"/>
      <c r="C411" s="137" t="s">
        <v>304</v>
      </c>
      <c r="D411" s="137"/>
      <c r="E411" s="138"/>
      <c r="F411" s="140"/>
      <c r="G411" s="138"/>
      <c r="H411" s="138"/>
      <c r="I411" s="138"/>
      <c r="J411" s="138"/>
      <c r="K411" s="138"/>
      <c r="L411" s="138"/>
      <c r="M411" s="138"/>
    </row>
    <row r="412" spans="2:13" hidden="1" x14ac:dyDescent="0.15">
      <c r="B412" s="139"/>
      <c r="C412" s="137" t="s">
        <v>305</v>
      </c>
      <c r="D412" s="137"/>
      <c r="E412" s="138"/>
      <c r="F412" s="140"/>
      <c r="G412" s="138"/>
      <c r="H412" s="138"/>
      <c r="I412" s="138"/>
      <c r="J412" s="138"/>
      <c r="K412" s="138"/>
      <c r="L412" s="138"/>
      <c r="M412" s="138"/>
    </row>
    <row r="413" spans="2:13" hidden="1" x14ac:dyDescent="0.15">
      <c r="B413" s="139"/>
      <c r="C413" s="137"/>
      <c r="D413" s="137"/>
      <c r="E413" s="138"/>
      <c r="F413" s="140"/>
      <c r="G413" s="138"/>
      <c r="H413" s="138"/>
      <c r="I413" s="138"/>
      <c r="J413" s="138"/>
      <c r="K413" s="138"/>
      <c r="L413" s="138"/>
      <c r="M413" s="138"/>
    </row>
    <row r="414" spans="2:13" hidden="1" x14ac:dyDescent="0.15">
      <c r="B414" s="136" t="s">
        <v>92</v>
      </c>
      <c r="C414" s="137" t="s">
        <v>306</v>
      </c>
      <c r="D414" s="137"/>
      <c r="E414" s="138"/>
      <c r="F414" s="140"/>
      <c r="G414" s="138"/>
      <c r="H414" s="138"/>
      <c r="I414" s="138"/>
      <c r="J414" s="138"/>
      <c r="K414" s="138"/>
      <c r="L414" s="138"/>
      <c r="M414" s="138"/>
    </row>
    <row r="415" spans="2:13" hidden="1" x14ac:dyDescent="0.15">
      <c r="B415" s="136"/>
      <c r="C415" s="137" t="s">
        <v>307</v>
      </c>
      <c r="D415" s="137"/>
      <c r="E415" s="138"/>
      <c r="F415" s="140"/>
      <c r="G415" s="138"/>
      <c r="H415" s="138"/>
      <c r="I415" s="138"/>
      <c r="J415" s="138"/>
      <c r="K415" s="138"/>
      <c r="L415" s="138"/>
      <c r="M415" s="138"/>
    </row>
    <row r="416" spans="2:13" hidden="1" x14ac:dyDescent="0.15">
      <c r="B416" s="136"/>
      <c r="C416" s="137" t="s">
        <v>308</v>
      </c>
      <c r="D416" s="137"/>
      <c r="E416" s="138"/>
      <c r="F416" s="138"/>
      <c r="G416" s="138"/>
      <c r="H416" s="138"/>
      <c r="I416" s="138"/>
      <c r="J416" s="138"/>
      <c r="K416" s="138"/>
      <c r="L416" s="138"/>
      <c r="M416" s="138"/>
    </row>
    <row r="417" spans="2:16" hidden="1" x14ac:dyDescent="0.15">
      <c r="B417" s="136"/>
      <c r="C417" s="137" t="s">
        <v>309</v>
      </c>
      <c r="D417" s="137"/>
      <c r="E417" s="138"/>
      <c r="F417" s="138"/>
      <c r="G417" s="138"/>
      <c r="H417" s="138"/>
      <c r="I417" s="138"/>
      <c r="J417" s="138"/>
      <c r="K417" s="138"/>
      <c r="L417" s="138"/>
      <c r="M417" s="138"/>
    </row>
    <row r="418" spans="2:16" hidden="1" x14ac:dyDescent="0.15">
      <c r="B418" s="136"/>
      <c r="C418" s="137"/>
      <c r="D418" s="137"/>
      <c r="E418" s="138"/>
      <c r="F418" s="138"/>
      <c r="G418" s="138"/>
      <c r="H418" s="138"/>
      <c r="I418" s="138"/>
      <c r="J418" s="138"/>
      <c r="K418" s="138"/>
      <c r="L418" s="138"/>
      <c r="M418" s="138"/>
    </row>
    <row r="419" spans="2:16" hidden="1" x14ac:dyDescent="0.15">
      <c r="B419" s="141" t="s">
        <v>49</v>
      </c>
      <c r="C419" s="142" t="s">
        <v>310</v>
      </c>
      <c r="D419" s="142"/>
      <c r="E419" s="138"/>
      <c r="F419" s="138"/>
      <c r="G419" s="138"/>
      <c r="H419" s="138"/>
      <c r="I419" s="138"/>
      <c r="J419" s="138"/>
      <c r="K419" s="138"/>
      <c r="L419" s="138"/>
      <c r="M419" s="138"/>
    </row>
    <row r="420" spans="2:16" hidden="1" x14ac:dyDescent="0.15">
      <c r="B420" s="141"/>
      <c r="C420" s="142" t="s">
        <v>311</v>
      </c>
      <c r="D420" s="142"/>
      <c r="E420" s="138"/>
      <c r="F420" s="138"/>
      <c r="G420" s="138"/>
      <c r="H420" s="138"/>
      <c r="I420" s="138"/>
      <c r="J420" s="138"/>
      <c r="K420" s="138"/>
      <c r="L420" s="138"/>
      <c r="M420" s="138"/>
    </row>
    <row r="421" spans="2:16" hidden="1" x14ac:dyDescent="0.15">
      <c r="B421" s="141"/>
      <c r="C421" s="142" t="s">
        <v>312</v>
      </c>
      <c r="D421" s="142"/>
      <c r="E421" s="138"/>
      <c r="F421" s="138"/>
      <c r="G421" s="138"/>
      <c r="H421" s="138"/>
      <c r="I421" s="138"/>
      <c r="J421" s="138"/>
      <c r="K421" s="138"/>
      <c r="L421" s="138"/>
      <c r="M421" s="138"/>
    </row>
    <row r="422" spans="2:16" hidden="1" x14ac:dyDescent="0.15">
      <c r="B422" s="141"/>
      <c r="C422" s="142" t="s">
        <v>313</v>
      </c>
      <c r="D422" s="142"/>
      <c r="E422" s="138"/>
      <c r="F422" s="138"/>
      <c r="G422" s="138"/>
      <c r="H422" s="138"/>
      <c r="I422" s="138"/>
      <c r="J422" s="138"/>
      <c r="K422" s="138"/>
      <c r="L422" s="138"/>
      <c r="M422" s="138"/>
    </row>
    <row r="423" spans="2:16" hidden="1" x14ac:dyDescent="0.15">
      <c r="B423" s="141"/>
      <c r="C423" s="142" t="s">
        <v>314</v>
      </c>
      <c r="D423" s="142"/>
      <c r="E423" s="138"/>
      <c r="F423" s="138"/>
      <c r="G423" s="138"/>
      <c r="H423" s="138"/>
      <c r="I423" s="138"/>
      <c r="J423" s="138"/>
      <c r="K423" s="138"/>
      <c r="L423" s="138"/>
      <c r="M423" s="138"/>
    </row>
    <row r="424" spans="2:16" hidden="1" x14ac:dyDescent="0.15">
      <c r="B424" s="136" t="s">
        <v>93</v>
      </c>
      <c r="C424" s="137"/>
      <c r="D424" s="137"/>
      <c r="E424" s="138"/>
      <c r="F424" s="138"/>
      <c r="G424" s="138"/>
      <c r="H424" s="138"/>
      <c r="I424" s="138"/>
      <c r="J424" s="138"/>
      <c r="K424" s="138"/>
      <c r="L424" s="138"/>
      <c r="M424" s="138"/>
    </row>
    <row r="425" spans="2:16" hidden="1" x14ac:dyDescent="0.15">
      <c r="B425" s="139"/>
      <c r="C425" s="137" t="s">
        <v>315</v>
      </c>
      <c r="D425" s="137"/>
      <c r="E425" s="138"/>
      <c r="F425" s="138"/>
      <c r="G425" s="138"/>
      <c r="H425" s="138"/>
      <c r="I425" s="138"/>
      <c r="J425" s="138"/>
      <c r="K425" s="138"/>
      <c r="L425" s="138"/>
      <c r="M425" s="138"/>
    </row>
    <row r="426" spans="2:16" hidden="1" x14ac:dyDescent="0.15">
      <c r="B426" s="139"/>
      <c r="C426" s="137" t="s">
        <v>316</v>
      </c>
      <c r="D426" s="137"/>
      <c r="E426" s="138"/>
      <c r="F426" s="138"/>
      <c r="G426" s="138"/>
      <c r="H426" s="138"/>
      <c r="I426" s="138"/>
      <c r="J426" s="138"/>
      <c r="K426" s="138"/>
      <c r="L426" s="138"/>
      <c r="M426" s="138"/>
    </row>
    <row r="427" spans="2:16" hidden="1" x14ac:dyDescent="0.15">
      <c r="B427" s="139"/>
      <c r="C427" s="137" t="s">
        <v>317</v>
      </c>
      <c r="D427" s="137"/>
      <c r="E427" s="138"/>
      <c r="F427" s="138"/>
      <c r="G427" s="138"/>
      <c r="H427" s="138"/>
      <c r="I427" s="138"/>
      <c r="J427" s="138"/>
      <c r="K427" s="138"/>
      <c r="L427" s="143"/>
      <c r="M427" s="143"/>
      <c r="N427" s="3"/>
      <c r="O427" s="3"/>
      <c r="P427" s="3"/>
    </row>
    <row r="428" spans="2:16" hidden="1" x14ac:dyDescent="0.15">
      <c r="B428" s="139"/>
      <c r="C428" s="137" t="s">
        <v>318</v>
      </c>
      <c r="D428" s="137"/>
      <c r="E428" s="138"/>
      <c r="F428" s="144">
        <f>+VALUE(RIGHT(D46,3))</f>
        <v>0</v>
      </c>
      <c r="G428" s="138"/>
      <c r="H428" s="138"/>
      <c r="I428" s="138"/>
      <c r="J428" s="138"/>
      <c r="K428" s="138"/>
      <c r="L428" s="143"/>
      <c r="M428" s="143"/>
      <c r="N428" s="3"/>
      <c r="O428" s="3"/>
      <c r="P428" s="3"/>
    </row>
    <row r="429" spans="2:16" hidden="1" x14ac:dyDescent="0.15">
      <c r="B429" s="139"/>
      <c r="C429" s="137" t="s">
        <v>319</v>
      </c>
      <c r="D429" s="137"/>
      <c r="E429" s="138"/>
      <c r="F429" s="145" t="s">
        <v>95</v>
      </c>
      <c r="G429" s="145" t="s">
        <v>96</v>
      </c>
      <c r="H429" s="146" t="s">
        <v>97</v>
      </c>
      <c r="I429" s="138"/>
      <c r="J429" s="138"/>
      <c r="K429" s="138"/>
      <c r="L429" s="143"/>
      <c r="M429" s="143"/>
      <c r="N429" s="3"/>
      <c r="O429" s="3"/>
      <c r="P429" s="3"/>
    </row>
    <row r="430" spans="2:16" hidden="1" x14ac:dyDescent="0.15">
      <c r="B430" s="139"/>
      <c r="C430" s="137" t="s">
        <v>320</v>
      </c>
      <c r="D430" s="137"/>
      <c r="E430" s="138"/>
      <c r="F430" s="138"/>
      <c r="G430" s="138"/>
      <c r="H430" s="138"/>
      <c r="I430" s="138"/>
      <c r="J430" s="138"/>
      <c r="K430" s="138"/>
      <c r="L430" s="143"/>
      <c r="M430" s="143"/>
      <c r="N430" s="3"/>
      <c r="O430" s="3"/>
      <c r="P430" s="3"/>
    </row>
    <row r="431" spans="2:16" hidden="1" x14ac:dyDescent="0.15">
      <c r="B431" s="139"/>
      <c r="C431" s="137" t="s">
        <v>321</v>
      </c>
      <c r="D431" s="137"/>
      <c r="E431" s="143">
        <v>1</v>
      </c>
      <c r="F431" s="143">
        <v>1800</v>
      </c>
      <c r="G431" s="143">
        <v>1300</v>
      </c>
      <c r="H431" s="143">
        <v>600</v>
      </c>
      <c r="I431" s="138"/>
      <c r="J431" s="138"/>
      <c r="K431" s="138"/>
      <c r="L431" s="143"/>
      <c r="M431" s="143"/>
      <c r="N431" s="3"/>
      <c r="O431" s="3"/>
      <c r="P431" s="3"/>
    </row>
    <row r="432" spans="2:16" hidden="1" x14ac:dyDescent="0.15">
      <c r="B432" s="139"/>
      <c r="C432" s="137"/>
      <c r="D432" s="137"/>
      <c r="E432" s="143">
        <v>2</v>
      </c>
      <c r="F432" s="143">
        <v>1800</v>
      </c>
      <c r="G432" s="143">
        <v>1300</v>
      </c>
      <c r="H432" s="143">
        <v>600</v>
      </c>
      <c r="I432" s="138"/>
      <c r="J432" s="138"/>
      <c r="K432" s="138"/>
      <c r="L432" s="143"/>
      <c r="M432" s="143"/>
      <c r="N432" s="3"/>
      <c r="O432" s="3"/>
      <c r="P432" s="3"/>
    </row>
    <row r="433" spans="2:16" hidden="1" x14ac:dyDescent="0.15">
      <c r="B433" s="136" t="s">
        <v>94</v>
      </c>
      <c r="C433" s="137" t="s">
        <v>322</v>
      </c>
      <c r="D433" s="137"/>
      <c r="E433" s="143">
        <v>3</v>
      </c>
      <c r="F433" s="143">
        <v>1800</v>
      </c>
      <c r="G433" s="143">
        <v>1300</v>
      </c>
      <c r="H433" s="143">
        <v>600</v>
      </c>
      <c r="I433" s="138"/>
      <c r="J433" s="138"/>
      <c r="K433" s="138"/>
      <c r="L433" s="143"/>
      <c r="M433" s="143"/>
      <c r="N433" s="3"/>
      <c r="O433" s="3"/>
      <c r="P433" s="3"/>
    </row>
    <row r="434" spans="2:16" hidden="1" x14ac:dyDescent="0.15">
      <c r="B434" s="136"/>
      <c r="C434" s="137" t="s">
        <v>323</v>
      </c>
      <c r="D434" s="137"/>
      <c r="E434" s="143">
        <v>4</v>
      </c>
      <c r="F434" s="143">
        <v>1800</v>
      </c>
      <c r="G434" s="143">
        <v>1300</v>
      </c>
      <c r="H434" s="143">
        <v>600</v>
      </c>
      <c r="I434" s="138"/>
      <c r="J434" s="138"/>
      <c r="K434" s="138"/>
      <c r="L434" s="143"/>
      <c r="M434" s="143"/>
      <c r="N434" s="3"/>
      <c r="O434" s="3"/>
      <c r="P434" s="3"/>
    </row>
    <row r="435" spans="2:16" hidden="1" x14ac:dyDescent="0.15">
      <c r="B435" s="136"/>
      <c r="C435" s="142" t="s">
        <v>324</v>
      </c>
      <c r="D435" s="137"/>
      <c r="E435" s="143">
        <v>5</v>
      </c>
      <c r="F435" s="143">
        <v>1800</v>
      </c>
      <c r="G435" s="143">
        <v>1300</v>
      </c>
      <c r="H435" s="143">
        <v>600</v>
      </c>
      <c r="I435" s="138"/>
      <c r="J435" s="138"/>
      <c r="K435" s="138"/>
      <c r="L435" s="143"/>
      <c r="M435" s="143"/>
      <c r="N435" s="3"/>
      <c r="O435" s="3"/>
      <c r="P435" s="3"/>
    </row>
    <row r="436" spans="2:16" hidden="1" x14ac:dyDescent="0.15">
      <c r="B436" s="136" t="s">
        <v>98</v>
      </c>
      <c r="C436" s="147" t="s">
        <v>325</v>
      </c>
      <c r="D436" s="137"/>
      <c r="E436" s="143">
        <v>6</v>
      </c>
      <c r="F436" s="143">
        <v>1800</v>
      </c>
      <c r="G436" s="143">
        <v>1300</v>
      </c>
      <c r="H436" s="143">
        <v>600</v>
      </c>
      <c r="I436" s="138"/>
      <c r="J436" s="138"/>
      <c r="K436" s="138"/>
      <c r="L436" s="143"/>
      <c r="M436" s="143"/>
      <c r="N436" s="3"/>
      <c r="O436" s="3"/>
      <c r="P436" s="3"/>
    </row>
    <row r="437" spans="2:16" hidden="1" x14ac:dyDescent="0.15">
      <c r="B437" s="139"/>
      <c r="C437" s="147" t="s">
        <v>99</v>
      </c>
      <c r="D437" s="137"/>
      <c r="E437" s="143">
        <v>7</v>
      </c>
      <c r="F437" s="143">
        <v>2300</v>
      </c>
      <c r="G437" s="143">
        <v>2100</v>
      </c>
      <c r="H437" s="143">
        <v>1100</v>
      </c>
      <c r="I437" s="138"/>
      <c r="J437" s="138"/>
      <c r="K437" s="138"/>
      <c r="L437" s="143"/>
      <c r="M437" s="143"/>
      <c r="N437" s="3"/>
      <c r="O437" s="3"/>
      <c r="P437" s="3"/>
    </row>
    <row r="438" spans="2:16" hidden="1" x14ac:dyDescent="0.15">
      <c r="B438" s="139"/>
      <c r="C438" s="147" t="s">
        <v>326</v>
      </c>
      <c r="D438" s="137"/>
      <c r="E438" s="143">
        <v>8</v>
      </c>
      <c r="F438" s="143">
        <v>2300</v>
      </c>
      <c r="G438" s="143">
        <v>2100</v>
      </c>
      <c r="H438" s="143">
        <v>1100</v>
      </c>
      <c r="I438" s="138"/>
      <c r="J438" s="138"/>
      <c r="K438" s="138"/>
      <c r="L438" s="143"/>
      <c r="M438" s="143"/>
      <c r="N438" s="3"/>
      <c r="O438" s="3"/>
      <c r="P438" s="3"/>
    </row>
    <row r="439" spans="2:16" hidden="1" x14ac:dyDescent="0.15">
      <c r="B439" s="139"/>
      <c r="C439" s="147" t="s">
        <v>327</v>
      </c>
      <c r="D439" s="137"/>
      <c r="E439" s="143">
        <v>9</v>
      </c>
      <c r="F439" s="143">
        <v>2300</v>
      </c>
      <c r="G439" s="143">
        <v>2100</v>
      </c>
      <c r="H439" s="143">
        <v>1100</v>
      </c>
      <c r="I439" s="138"/>
      <c r="J439" s="138"/>
      <c r="K439" s="138"/>
      <c r="L439" s="143"/>
      <c r="M439" s="143"/>
      <c r="N439" s="3"/>
      <c r="O439" s="3"/>
      <c r="P439" s="3"/>
    </row>
    <row r="440" spans="2:16" hidden="1" x14ac:dyDescent="0.15">
      <c r="B440" s="139"/>
      <c r="C440" s="147" t="s">
        <v>328</v>
      </c>
      <c r="D440" s="137"/>
      <c r="E440" s="143">
        <v>10</v>
      </c>
      <c r="F440" s="143">
        <v>2300</v>
      </c>
      <c r="G440" s="143">
        <v>2100</v>
      </c>
      <c r="H440" s="143">
        <v>1100</v>
      </c>
      <c r="I440" s="138"/>
      <c r="J440" s="138"/>
      <c r="K440" s="138"/>
      <c r="L440" s="143"/>
      <c r="M440" s="143"/>
      <c r="N440" s="3"/>
      <c r="O440" s="3"/>
      <c r="P440" s="3"/>
    </row>
    <row r="441" spans="2:16" hidden="1" x14ac:dyDescent="0.15">
      <c r="B441" s="139"/>
      <c r="C441" s="147" t="s">
        <v>329</v>
      </c>
      <c r="D441" s="137"/>
      <c r="E441" s="143">
        <v>11</v>
      </c>
      <c r="F441" s="143">
        <v>2300</v>
      </c>
      <c r="G441" s="143">
        <v>2100</v>
      </c>
      <c r="H441" s="143">
        <v>1100</v>
      </c>
      <c r="I441" s="138"/>
      <c r="J441" s="138"/>
      <c r="K441" s="138"/>
      <c r="L441" s="143"/>
      <c r="M441" s="143"/>
      <c r="N441" s="3"/>
      <c r="O441" s="3"/>
      <c r="P441" s="3"/>
    </row>
    <row r="442" spans="2:16" hidden="1" x14ac:dyDescent="0.15">
      <c r="B442" s="139"/>
      <c r="C442" s="147" t="s">
        <v>330</v>
      </c>
      <c r="D442" s="137"/>
      <c r="E442" s="143">
        <v>12</v>
      </c>
      <c r="F442" s="143">
        <v>3500</v>
      </c>
      <c r="G442" s="143">
        <v>3200</v>
      </c>
      <c r="H442" s="143">
        <v>2100</v>
      </c>
      <c r="I442" s="138"/>
      <c r="J442" s="138"/>
      <c r="K442" s="138"/>
      <c r="L442" s="143"/>
      <c r="M442" s="143"/>
      <c r="N442" s="3"/>
      <c r="O442" s="3"/>
      <c r="P442" s="3"/>
    </row>
    <row r="443" spans="2:16" hidden="1" x14ac:dyDescent="0.15">
      <c r="B443" s="139"/>
      <c r="C443" s="147" t="s">
        <v>331</v>
      </c>
      <c r="D443" s="137"/>
      <c r="E443" s="143">
        <v>13</v>
      </c>
      <c r="F443" s="143">
        <v>3500</v>
      </c>
      <c r="G443" s="143">
        <v>3200</v>
      </c>
      <c r="H443" s="143">
        <v>2100</v>
      </c>
      <c r="I443" s="138"/>
      <c r="J443" s="138"/>
      <c r="K443" s="138"/>
      <c r="L443" s="143"/>
      <c r="M443" s="143"/>
      <c r="N443" s="3"/>
      <c r="O443" s="3"/>
      <c r="P443" s="3"/>
    </row>
    <row r="444" spans="2:16" hidden="1" x14ac:dyDescent="0.15">
      <c r="B444" s="139"/>
      <c r="C444" s="147" t="s">
        <v>332</v>
      </c>
      <c r="D444" s="137"/>
      <c r="E444" s="143">
        <v>14</v>
      </c>
      <c r="F444" s="143">
        <v>3500</v>
      </c>
      <c r="G444" s="143">
        <v>3200</v>
      </c>
      <c r="H444" s="143">
        <v>2100</v>
      </c>
      <c r="I444" s="138"/>
      <c r="J444" s="138"/>
      <c r="K444" s="138"/>
      <c r="L444" s="143"/>
      <c r="M444" s="143"/>
      <c r="N444" s="3"/>
      <c r="O444" s="3"/>
      <c r="P444" s="3"/>
    </row>
    <row r="445" spans="2:16" hidden="1" x14ac:dyDescent="0.15">
      <c r="B445" s="139"/>
      <c r="C445" s="147" t="s">
        <v>333</v>
      </c>
      <c r="D445" s="137"/>
      <c r="E445" s="143">
        <v>15</v>
      </c>
      <c r="F445" s="143">
        <v>3500</v>
      </c>
      <c r="G445" s="143">
        <v>3200</v>
      </c>
      <c r="H445" s="143">
        <v>2100</v>
      </c>
      <c r="I445" s="138"/>
      <c r="J445" s="138"/>
      <c r="K445" s="138"/>
      <c r="L445" s="143"/>
      <c r="M445" s="143"/>
      <c r="N445" s="3"/>
      <c r="O445" s="3"/>
      <c r="P445" s="3"/>
    </row>
    <row r="446" spans="2:16" hidden="1" x14ac:dyDescent="0.15">
      <c r="B446" s="139"/>
      <c r="C446" s="147" t="s">
        <v>334</v>
      </c>
      <c r="D446" s="137"/>
      <c r="E446" s="143">
        <v>16</v>
      </c>
      <c r="F446" s="143">
        <v>3500</v>
      </c>
      <c r="G446" s="143">
        <v>3200</v>
      </c>
      <c r="H446" s="143">
        <v>2100</v>
      </c>
      <c r="I446" s="138"/>
      <c r="J446" s="138"/>
      <c r="K446" s="138"/>
      <c r="L446" s="143"/>
      <c r="M446" s="143"/>
      <c r="N446" s="3"/>
      <c r="O446" s="3"/>
      <c r="P446" s="3"/>
    </row>
    <row r="447" spans="2:16" hidden="1" x14ac:dyDescent="0.15">
      <c r="B447" s="139"/>
      <c r="C447" s="147" t="s">
        <v>335</v>
      </c>
      <c r="D447" s="137"/>
      <c r="E447" s="143">
        <v>17</v>
      </c>
      <c r="F447" s="143">
        <v>1800</v>
      </c>
      <c r="G447" s="143">
        <v>1300</v>
      </c>
      <c r="H447" s="143">
        <v>600</v>
      </c>
      <c r="I447" s="138"/>
      <c r="J447" s="138"/>
      <c r="K447" s="138"/>
      <c r="L447" s="143"/>
      <c r="M447" s="143"/>
      <c r="N447" s="3"/>
      <c r="O447" s="3"/>
      <c r="P447" s="3"/>
    </row>
    <row r="448" spans="2:16" hidden="1" x14ac:dyDescent="0.15">
      <c r="B448" s="139"/>
      <c r="C448" s="147" t="s">
        <v>336</v>
      </c>
      <c r="D448" s="137"/>
      <c r="E448" s="143">
        <v>18</v>
      </c>
      <c r="F448" s="143">
        <v>1800</v>
      </c>
      <c r="G448" s="143">
        <v>1300</v>
      </c>
      <c r="H448" s="143">
        <v>600</v>
      </c>
      <c r="I448" s="138"/>
      <c r="J448" s="138"/>
      <c r="K448" s="138"/>
      <c r="L448" s="143"/>
      <c r="M448" s="143"/>
      <c r="N448" s="3"/>
      <c r="O448" s="3"/>
      <c r="P448" s="3"/>
    </row>
    <row r="449" spans="2:16" hidden="1" x14ac:dyDescent="0.15">
      <c r="B449" s="139"/>
      <c r="C449" s="147" t="s">
        <v>337</v>
      </c>
      <c r="D449" s="137"/>
      <c r="E449" s="143">
        <v>19</v>
      </c>
      <c r="F449" s="143">
        <v>2300</v>
      </c>
      <c r="G449" s="143">
        <v>2100</v>
      </c>
      <c r="H449" s="143">
        <v>1100</v>
      </c>
      <c r="I449" s="138"/>
      <c r="J449" s="138"/>
      <c r="K449" s="138"/>
      <c r="L449" s="143"/>
      <c r="M449" s="143"/>
      <c r="N449" s="3"/>
      <c r="O449" s="3"/>
      <c r="P449" s="3"/>
    </row>
    <row r="450" spans="2:16" hidden="1" x14ac:dyDescent="0.15">
      <c r="B450" s="139"/>
      <c r="C450" s="147" t="s">
        <v>338</v>
      </c>
      <c r="D450" s="137"/>
      <c r="E450" s="143">
        <v>20</v>
      </c>
      <c r="F450" s="143">
        <v>1800</v>
      </c>
      <c r="G450" s="143">
        <v>1300</v>
      </c>
      <c r="H450" s="143">
        <v>600</v>
      </c>
      <c r="I450" s="138"/>
      <c r="J450" s="138"/>
      <c r="K450" s="138"/>
      <c r="L450" s="143"/>
      <c r="M450" s="143"/>
      <c r="N450" s="3"/>
      <c r="O450" s="3"/>
      <c r="P450" s="3"/>
    </row>
    <row r="451" spans="2:16" hidden="1" x14ac:dyDescent="0.15">
      <c r="B451" s="139"/>
      <c r="C451" s="147" t="s">
        <v>339</v>
      </c>
      <c r="D451" s="137"/>
      <c r="E451" s="143">
        <v>21</v>
      </c>
      <c r="F451" s="143">
        <v>2300</v>
      </c>
      <c r="G451" s="143">
        <v>2100</v>
      </c>
      <c r="H451" s="143">
        <v>1100</v>
      </c>
      <c r="I451" s="138"/>
      <c r="J451" s="138"/>
      <c r="K451" s="138"/>
      <c r="L451" s="143"/>
      <c r="M451" s="143"/>
      <c r="N451" s="3"/>
      <c r="O451" s="3"/>
      <c r="P451" s="3"/>
    </row>
    <row r="452" spans="2:16" hidden="1" x14ac:dyDescent="0.15">
      <c r="B452" s="139"/>
      <c r="C452" s="147" t="s">
        <v>340</v>
      </c>
      <c r="D452" s="137"/>
      <c r="E452" s="143">
        <v>22</v>
      </c>
      <c r="F452" s="143">
        <v>3500</v>
      </c>
      <c r="G452" s="143">
        <v>3200</v>
      </c>
      <c r="H452" s="143">
        <v>2100</v>
      </c>
      <c r="I452" s="138"/>
      <c r="J452" s="138"/>
      <c r="K452" s="138"/>
      <c r="L452" s="143"/>
      <c r="M452" s="143"/>
      <c r="N452" s="3"/>
      <c r="O452" s="3"/>
      <c r="P452" s="3"/>
    </row>
    <row r="453" spans="2:16" hidden="1" x14ac:dyDescent="0.15">
      <c r="B453" s="139"/>
      <c r="C453" s="147" t="s">
        <v>341</v>
      </c>
      <c r="D453" s="137"/>
      <c r="E453" s="143">
        <v>23</v>
      </c>
      <c r="F453" s="143">
        <v>3500</v>
      </c>
      <c r="G453" s="143">
        <v>3200</v>
      </c>
      <c r="H453" s="143">
        <v>2100</v>
      </c>
      <c r="I453" s="138"/>
      <c r="J453" s="138"/>
      <c r="K453" s="138"/>
      <c r="L453" s="143"/>
      <c r="M453" s="143"/>
      <c r="N453" s="3"/>
      <c r="O453" s="3"/>
      <c r="P453" s="3"/>
    </row>
    <row r="454" spans="2:16" hidden="1" x14ac:dyDescent="0.15">
      <c r="B454" s="139"/>
      <c r="C454" s="147" t="s">
        <v>342</v>
      </c>
      <c r="D454" s="137"/>
      <c r="E454" s="143">
        <v>24</v>
      </c>
      <c r="F454" s="143">
        <v>1800</v>
      </c>
      <c r="G454" s="143">
        <v>1300</v>
      </c>
      <c r="H454" s="143">
        <v>600</v>
      </c>
      <c r="I454" s="138"/>
      <c r="J454" s="138"/>
      <c r="K454" s="138"/>
      <c r="L454" s="143"/>
      <c r="M454" s="143"/>
      <c r="N454" s="3"/>
      <c r="O454" s="3"/>
      <c r="P454" s="3"/>
    </row>
    <row r="455" spans="2:16" hidden="1" x14ac:dyDescent="0.15">
      <c r="B455" s="139"/>
      <c r="C455" s="147" t="s">
        <v>343</v>
      </c>
      <c r="D455" s="137"/>
      <c r="E455" s="143">
        <v>25</v>
      </c>
      <c r="F455" s="143">
        <v>2900</v>
      </c>
      <c r="G455" s="143">
        <v>1800</v>
      </c>
      <c r="H455" s="143">
        <v>800</v>
      </c>
      <c r="I455" s="138"/>
      <c r="J455" s="138"/>
      <c r="K455" s="138"/>
      <c r="L455" s="143"/>
      <c r="M455" s="143"/>
      <c r="N455" s="3"/>
      <c r="O455" s="3"/>
      <c r="P455" s="3"/>
    </row>
    <row r="456" spans="2:16" hidden="1" x14ac:dyDescent="0.15">
      <c r="B456" s="139"/>
      <c r="C456" s="147" t="s">
        <v>344</v>
      </c>
      <c r="D456" s="137"/>
      <c r="E456" s="143">
        <v>26</v>
      </c>
      <c r="F456" s="143">
        <v>1800</v>
      </c>
      <c r="G456" s="143">
        <v>1300</v>
      </c>
      <c r="H456" s="143">
        <v>600</v>
      </c>
      <c r="I456" s="138"/>
      <c r="J456" s="138"/>
      <c r="K456" s="138"/>
      <c r="L456" s="143"/>
      <c r="M456" s="143"/>
      <c r="N456" s="3"/>
      <c r="O456" s="3"/>
      <c r="P456" s="3"/>
    </row>
    <row r="457" spans="2:16" hidden="1" x14ac:dyDescent="0.15">
      <c r="B457" s="139"/>
      <c r="C457" s="147" t="s">
        <v>345</v>
      </c>
      <c r="D457" s="137"/>
      <c r="E457" s="143">
        <v>27</v>
      </c>
      <c r="F457" s="143">
        <v>2900</v>
      </c>
      <c r="G457" s="143">
        <v>1800</v>
      </c>
      <c r="H457" s="143">
        <v>800</v>
      </c>
      <c r="I457" s="138"/>
      <c r="J457" s="138"/>
      <c r="K457" s="138"/>
      <c r="L457" s="143"/>
      <c r="M457" s="143"/>
      <c r="N457" s="3"/>
      <c r="O457" s="3"/>
      <c r="P457" s="3"/>
    </row>
    <row r="458" spans="2:16" hidden="1" x14ac:dyDescent="0.15">
      <c r="B458" s="139"/>
      <c r="C458" s="147" t="s">
        <v>346</v>
      </c>
      <c r="D458" s="137"/>
      <c r="E458" s="143">
        <v>28</v>
      </c>
      <c r="F458" s="143">
        <v>3500</v>
      </c>
      <c r="G458" s="143">
        <v>3200</v>
      </c>
      <c r="H458" s="143">
        <v>2100</v>
      </c>
      <c r="I458" s="138"/>
      <c r="J458" s="138"/>
      <c r="K458" s="138"/>
      <c r="L458" s="143"/>
      <c r="M458" s="143"/>
      <c r="N458" s="3"/>
      <c r="O458" s="3"/>
      <c r="P458" s="3"/>
    </row>
    <row r="459" spans="2:16" hidden="1" x14ac:dyDescent="0.15">
      <c r="B459" s="139"/>
      <c r="C459" s="147" t="s">
        <v>347</v>
      </c>
      <c r="D459" s="137"/>
      <c r="E459" s="143">
        <v>29</v>
      </c>
      <c r="F459" s="143">
        <v>3500</v>
      </c>
      <c r="G459" s="143">
        <v>3200</v>
      </c>
      <c r="H459" s="143">
        <v>2100</v>
      </c>
      <c r="I459" s="138"/>
      <c r="J459" s="138"/>
      <c r="K459" s="138"/>
      <c r="L459" s="143"/>
      <c r="M459" s="143"/>
      <c r="N459" s="3"/>
      <c r="O459" s="3"/>
      <c r="P459" s="3"/>
    </row>
    <row r="460" spans="2:16" hidden="1" x14ac:dyDescent="0.15">
      <c r="B460" s="139"/>
      <c r="C460" s="147" t="s">
        <v>348</v>
      </c>
      <c r="D460" s="137"/>
      <c r="E460" s="143">
        <v>30</v>
      </c>
      <c r="F460" s="143">
        <v>3500</v>
      </c>
      <c r="G460" s="143">
        <v>3200</v>
      </c>
      <c r="H460" s="143">
        <v>2100</v>
      </c>
      <c r="I460" s="138"/>
      <c r="J460" s="138"/>
      <c r="K460" s="138"/>
      <c r="L460" s="143"/>
      <c r="M460" s="143"/>
      <c r="N460" s="3"/>
      <c r="O460" s="3"/>
      <c r="P460" s="3"/>
    </row>
    <row r="461" spans="2:16" hidden="1" x14ac:dyDescent="0.15">
      <c r="B461" s="139"/>
      <c r="C461" s="147" t="s">
        <v>349</v>
      </c>
      <c r="D461" s="137"/>
      <c r="E461" s="143">
        <v>31</v>
      </c>
      <c r="F461" s="143">
        <v>2900</v>
      </c>
      <c r="G461" s="143">
        <v>1800</v>
      </c>
      <c r="H461" s="143">
        <v>800</v>
      </c>
      <c r="I461" s="138"/>
      <c r="J461" s="138"/>
      <c r="K461" s="138"/>
      <c r="L461" s="143"/>
      <c r="M461" s="143"/>
      <c r="O461" s="3"/>
      <c r="P461" s="3"/>
    </row>
    <row r="462" spans="2:16" hidden="1" x14ac:dyDescent="0.15">
      <c r="B462" s="139"/>
      <c r="C462" s="147" t="s">
        <v>100</v>
      </c>
      <c r="D462" s="137"/>
      <c r="E462" s="143">
        <v>32</v>
      </c>
      <c r="F462" s="143">
        <v>2900</v>
      </c>
      <c r="G462" s="143">
        <v>1800</v>
      </c>
      <c r="H462" s="143">
        <v>800</v>
      </c>
      <c r="I462" s="138"/>
      <c r="J462" s="138"/>
      <c r="K462" s="138"/>
      <c r="L462" s="143"/>
      <c r="M462" s="143"/>
      <c r="N462" s="3"/>
      <c r="O462" s="3"/>
      <c r="P462" s="3"/>
    </row>
    <row r="463" spans="2:16" hidden="1" x14ac:dyDescent="0.15">
      <c r="B463" s="139"/>
      <c r="C463" s="147" t="s">
        <v>350</v>
      </c>
      <c r="D463" s="137"/>
      <c r="E463" s="143">
        <v>33</v>
      </c>
      <c r="F463" s="143">
        <v>2900</v>
      </c>
      <c r="G463" s="143">
        <v>1800</v>
      </c>
      <c r="H463" s="143">
        <v>800</v>
      </c>
      <c r="I463" s="138"/>
      <c r="J463" s="138"/>
      <c r="K463" s="138"/>
      <c r="L463" s="143"/>
      <c r="M463" s="143"/>
      <c r="N463" s="3"/>
      <c r="O463" s="3"/>
      <c r="P463" s="3"/>
    </row>
    <row r="464" spans="2:16" hidden="1" x14ac:dyDescent="0.15">
      <c r="B464" s="139"/>
      <c r="C464" s="147" t="s">
        <v>351</v>
      </c>
      <c r="D464" s="137"/>
      <c r="E464" s="143">
        <v>34</v>
      </c>
      <c r="F464" s="143">
        <v>2300</v>
      </c>
      <c r="G464" s="143">
        <v>2100</v>
      </c>
      <c r="H464" s="143">
        <v>1100</v>
      </c>
      <c r="I464" s="138"/>
      <c r="J464" s="138"/>
      <c r="K464" s="138"/>
      <c r="L464" s="143"/>
      <c r="M464" s="143"/>
      <c r="N464" s="3"/>
      <c r="O464" s="3"/>
      <c r="P464" s="3"/>
    </row>
    <row r="465" spans="2:16" hidden="1" x14ac:dyDescent="0.15">
      <c r="B465" s="139"/>
      <c r="C465" s="147" t="s">
        <v>352</v>
      </c>
      <c r="D465" s="137"/>
      <c r="E465" s="143">
        <v>35</v>
      </c>
      <c r="F465" s="138">
        <v>5400</v>
      </c>
      <c r="G465" s="143">
        <v>3900</v>
      </c>
      <c r="H465" s="143">
        <v>2000</v>
      </c>
      <c r="I465" s="138"/>
      <c r="J465" s="138"/>
      <c r="K465" s="138"/>
      <c r="L465" s="143"/>
      <c r="M465" s="143"/>
      <c r="N465" s="3"/>
      <c r="O465" s="3"/>
      <c r="P465" s="3"/>
    </row>
    <row r="466" spans="2:16" hidden="1" x14ac:dyDescent="0.15">
      <c r="B466" s="139"/>
      <c r="C466" s="147" t="s">
        <v>353</v>
      </c>
      <c r="D466" s="137"/>
      <c r="E466" s="143">
        <v>36</v>
      </c>
      <c r="F466" s="143">
        <v>3500</v>
      </c>
      <c r="G466" s="143">
        <v>3200</v>
      </c>
      <c r="H466" s="143">
        <v>2100</v>
      </c>
      <c r="I466" s="138"/>
      <c r="J466" s="138"/>
      <c r="K466" s="138"/>
      <c r="L466" s="143"/>
      <c r="M466" s="143"/>
      <c r="N466" s="3"/>
      <c r="O466" s="3"/>
      <c r="P466" s="3"/>
    </row>
    <row r="467" spans="2:16" hidden="1" x14ac:dyDescent="0.15">
      <c r="B467" s="139"/>
      <c r="C467" s="147" t="s">
        <v>354</v>
      </c>
      <c r="D467" s="137"/>
      <c r="E467" s="143">
        <v>37</v>
      </c>
      <c r="F467" s="143">
        <v>3500</v>
      </c>
      <c r="G467" s="143">
        <v>3200</v>
      </c>
      <c r="H467" s="143">
        <v>2100</v>
      </c>
      <c r="I467" s="138"/>
      <c r="J467" s="138"/>
      <c r="K467" s="138"/>
      <c r="L467" s="143"/>
      <c r="M467" s="143"/>
      <c r="N467" s="3"/>
      <c r="O467" s="3"/>
      <c r="P467" s="3"/>
    </row>
    <row r="468" spans="2:16" hidden="1" x14ac:dyDescent="0.15">
      <c r="B468" s="139"/>
      <c r="C468" s="147" t="s">
        <v>355</v>
      </c>
      <c r="D468" s="137"/>
      <c r="E468" s="143">
        <v>38</v>
      </c>
      <c r="F468" s="143">
        <v>1800</v>
      </c>
      <c r="G468" s="143">
        <v>1300</v>
      </c>
      <c r="H468" s="143">
        <v>600</v>
      </c>
      <c r="I468" s="138"/>
      <c r="J468" s="138"/>
      <c r="K468" s="138"/>
      <c r="L468" s="143"/>
      <c r="M468" s="143"/>
      <c r="N468" s="3"/>
      <c r="O468" s="3"/>
      <c r="P468" s="3"/>
    </row>
    <row r="469" spans="2:16" hidden="1" x14ac:dyDescent="0.15">
      <c r="B469" s="139"/>
      <c r="C469" s="147" t="s">
        <v>356</v>
      </c>
      <c r="D469" s="137"/>
      <c r="E469" s="143">
        <v>39</v>
      </c>
      <c r="F469" s="143">
        <v>1800</v>
      </c>
      <c r="G469" s="143">
        <v>1300</v>
      </c>
      <c r="H469" s="143">
        <v>600</v>
      </c>
      <c r="I469" s="138"/>
      <c r="J469" s="138"/>
      <c r="K469" s="138"/>
      <c r="L469" s="143"/>
      <c r="M469" s="143"/>
      <c r="N469" s="3"/>
      <c r="O469" s="3"/>
      <c r="P469" s="3"/>
    </row>
    <row r="470" spans="2:16" hidden="1" x14ac:dyDescent="0.15">
      <c r="B470" s="139"/>
      <c r="C470" s="147" t="s">
        <v>357</v>
      </c>
      <c r="D470" s="137"/>
      <c r="E470" s="143">
        <v>40</v>
      </c>
      <c r="F470" s="143">
        <v>2900</v>
      </c>
      <c r="G470" s="143">
        <v>1800</v>
      </c>
      <c r="H470" s="143">
        <v>800</v>
      </c>
      <c r="I470" s="138"/>
      <c r="J470" s="138"/>
      <c r="K470" s="138"/>
      <c r="L470" s="143"/>
      <c r="M470" s="143"/>
      <c r="N470" s="3"/>
      <c r="O470" s="3"/>
      <c r="P470" s="3"/>
    </row>
    <row r="471" spans="2:16" hidden="1" x14ac:dyDescent="0.15">
      <c r="B471" s="139"/>
      <c r="C471" s="147" t="s">
        <v>358</v>
      </c>
      <c r="D471" s="137"/>
      <c r="E471" s="143">
        <v>41</v>
      </c>
      <c r="F471" s="143">
        <v>2900</v>
      </c>
      <c r="G471" s="143">
        <v>1800</v>
      </c>
      <c r="H471" s="143">
        <v>800</v>
      </c>
      <c r="I471" s="138"/>
      <c r="J471" s="138"/>
      <c r="K471" s="138"/>
      <c r="L471" s="143"/>
      <c r="M471" s="143"/>
      <c r="N471" s="3"/>
      <c r="O471" s="3"/>
      <c r="P471" s="3"/>
    </row>
    <row r="472" spans="2:16" hidden="1" x14ac:dyDescent="0.15">
      <c r="B472" s="139"/>
      <c r="C472" s="147" t="s">
        <v>359</v>
      </c>
      <c r="D472" s="137"/>
      <c r="E472" s="143">
        <v>42</v>
      </c>
      <c r="F472" s="143">
        <v>2900</v>
      </c>
      <c r="G472" s="143">
        <v>1800</v>
      </c>
      <c r="H472" s="143">
        <v>800</v>
      </c>
      <c r="I472" s="138"/>
      <c r="J472" s="138"/>
      <c r="K472" s="138"/>
      <c r="L472" s="143"/>
      <c r="M472" s="143"/>
      <c r="N472" s="3"/>
      <c r="O472" s="3"/>
      <c r="P472" s="3"/>
    </row>
    <row r="473" spans="2:16" hidden="1" x14ac:dyDescent="0.15">
      <c r="B473" s="139"/>
      <c r="C473" s="147" t="s">
        <v>360</v>
      </c>
      <c r="D473" s="137"/>
      <c r="E473" s="143">
        <v>43</v>
      </c>
      <c r="F473" s="143">
        <v>3000</v>
      </c>
      <c r="G473" s="143">
        <v>2400</v>
      </c>
      <c r="H473" s="143">
        <v>1300</v>
      </c>
      <c r="I473" s="138"/>
      <c r="J473" s="138"/>
      <c r="K473" s="138"/>
      <c r="L473" s="143"/>
      <c r="M473" s="143"/>
      <c r="N473" s="3"/>
      <c r="O473" s="3"/>
      <c r="P473" s="3"/>
    </row>
    <row r="474" spans="2:16" hidden="1" x14ac:dyDescent="0.15">
      <c r="B474" s="139"/>
      <c r="C474" s="147" t="s">
        <v>361</v>
      </c>
      <c r="D474" s="137"/>
      <c r="E474" s="143">
        <v>44</v>
      </c>
      <c r="F474" s="143">
        <v>3000</v>
      </c>
      <c r="G474" s="143">
        <v>2400</v>
      </c>
      <c r="H474" s="143">
        <v>1300</v>
      </c>
      <c r="I474" s="138"/>
      <c r="J474" s="138"/>
      <c r="K474" s="138"/>
      <c r="L474" s="143"/>
      <c r="M474" s="143"/>
      <c r="N474" s="3"/>
      <c r="O474" s="3"/>
      <c r="P474" s="3"/>
    </row>
    <row r="475" spans="2:16" hidden="1" x14ac:dyDescent="0.15">
      <c r="B475" s="139"/>
      <c r="C475" s="147" t="s">
        <v>362</v>
      </c>
      <c r="D475" s="137"/>
      <c r="E475" s="143">
        <v>45</v>
      </c>
      <c r="F475" s="143">
        <v>2900</v>
      </c>
      <c r="G475" s="143">
        <v>1800</v>
      </c>
      <c r="H475" s="143">
        <v>800</v>
      </c>
      <c r="I475" s="138"/>
      <c r="J475" s="138"/>
      <c r="K475" s="138"/>
      <c r="L475" s="143"/>
      <c r="M475" s="143"/>
      <c r="N475" s="3"/>
      <c r="O475" s="3"/>
      <c r="P475" s="3"/>
    </row>
    <row r="476" spans="2:16" hidden="1" x14ac:dyDescent="0.15">
      <c r="B476" s="139"/>
      <c r="C476" s="147" t="s">
        <v>363</v>
      </c>
      <c r="D476" s="137"/>
      <c r="E476" s="143">
        <v>46</v>
      </c>
      <c r="F476" s="143">
        <v>5400</v>
      </c>
      <c r="G476" s="143">
        <v>4000</v>
      </c>
      <c r="H476" s="143">
        <v>2000</v>
      </c>
      <c r="I476" s="138"/>
      <c r="J476" s="138"/>
      <c r="K476" s="138"/>
      <c r="L476" s="143"/>
      <c r="M476" s="143"/>
      <c r="N476" s="3"/>
      <c r="O476" s="3"/>
      <c r="P476" s="3"/>
    </row>
    <row r="477" spans="2:16" hidden="1" x14ac:dyDescent="0.15">
      <c r="B477" s="139"/>
      <c r="C477" s="147" t="s">
        <v>364</v>
      </c>
      <c r="D477" s="137"/>
      <c r="E477" s="143">
        <v>47</v>
      </c>
      <c r="F477" s="143">
        <v>4000</v>
      </c>
      <c r="G477" s="143">
        <v>3000</v>
      </c>
      <c r="H477" s="143">
        <v>1500</v>
      </c>
      <c r="I477" s="138"/>
      <c r="J477" s="138"/>
      <c r="K477" s="138"/>
      <c r="L477" s="143"/>
      <c r="M477" s="143"/>
      <c r="N477" s="3"/>
      <c r="O477" s="3"/>
      <c r="P477" s="3"/>
    </row>
    <row r="478" spans="2:16" hidden="1" x14ac:dyDescent="0.15">
      <c r="B478" s="139"/>
      <c r="C478" s="147" t="s">
        <v>365</v>
      </c>
      <c r="D478" s="137"/>
      <c r="E478" s="143">
        <v>48</v>
      </c>
      <c r="F478" s="143">
        <v>3900</v>
      </c>
      <c r="G478" s="143">
        <v>3900</v>
      </c>
      <c r="H478" s="143">
        <v>3900</v>
      </c>
      <c r="I478" s="138"/>
      <c r="J478" s="138"/>
      <c r="K478" s="138"/>
      <c r="L478" s="143"/>
      <c r="M478" s="143"/>
    </row>
    <row r="479" spans="2:16" hidden="1" x14ac:dyDescent="0.15">
      <c r="B479" s="139"/>
      <c r="C479" s="147" t="s">
        <v>366</v>
      </c>
      <c r="D479" s="137"/>
      <c r="E479" s="143">
        <v>49</v>
      </c>
      <c r="F479" s="143">
        <v>3500</v>
      </c>
      <c r="G479" s="143">
        <v>3200</v>
      </c>
      <c r="H479" s="143">
        <v>2100</v>
      </c>
      <c r="I479" s="138"/>
      <c r="J479" s="138"/>
      <c r="K479" s="138"/>
      <c r="L479" s="143"/>
      <c r="M479" s="143"/>
    </row>
    <row r="480" spans="2:16" hidden="1" x14ac:dyDescent="0.15">
      <c r="B480" s="139"/>
      <c r="C480" s="147" t="s">
        <v>367</v>
      </c>
      <c r="D480" s="137"/>
      <c r="E480" s="143">
        <v>50</v>
      </c>
      <c r="F480" s="143">
        <v>3500</v>
      </c>
      <c r="G480" s="143">
        <v>3200</v>
      </c>
      <c r="H480" s="143">
        <v>2100</v>
      </c>
      <c r="I480" s="138"/>
      <c r="J480" s="138"/>
      <c r="K480" s="138"/>
      <c r="L480" s="143"/>
      <c r="M480" s="143"/>
    </row>
    <row r="481" spans="2:16" hidden="1" x14ac:dyDescent="0.15">
      <c r="B481" s="139"/>
      <c r="C481" s="147" t="s">
        <v>368</v>
      </c>
      <c r="D481" s="137"/>
      <c r="E481" s="143">
        <v>51</v>
      </c>
      <c r="F481" s="143">
        <v>3500</v>
      </c>
      <c r="G481" s="143">
        <v>3200</v>
      </c>
      <c r="H481" s="143">
        <v>2100</v>
      </c>
      <c r="I481" s="138"/>
      <c r="J481" s="138"/>
      <c r="K481" s="138"/>
      <c r="L481" s="143"/>
      <c r="M481" s="143"/>
    </row>
    <row r="482" spans="2:16" hidden="1" x14ac:dyDescent="0.15">
      <c r="B482" s="139"/>
      <c r="C482" s="147" t="s">
        <v>369</v>
      </c>
      <c r="D482" s="137"/>
      <c r="E482" s="143">
        <v>52</v>
      </c>
      <c r="F482" s="138">
        <v>2900</v>
      </c>
      <c r="G482" s="138">
        <v>1800</v>
      </c>
      <c r="H482" s="138">
        <v>800</v>
      </c>
      <c r="I482" s="138"/>
      <c r="J482" s="138"/>
      <c r="K482" s="138"/>
      <c r="L482" s="143"/>
      <c r="M482" s="143"/>
    </row>
    <row r="483" spans="2:16" hidden="1" x14ac:dyDescent="0.15">
      <c r="B483" s="139"/>
      <c r="C483" s="147" t="s">
        <v>370</v>
      </c>
      <c r="D483" s="137"/>
      <c r="E483" s="143">
        <v>53</v>
      </c>
      <c r="F483" s="138">
        <v>2900</v>
      </c>
      <c r="G483" s="138">
        <v>1800</v>
      </c>
      <c r="H483" s="138">
        <v>800</v>
      </c>
      <c r="I483" s="138"/>
      <c r="J483" s="138"/>
      <c r="K483" s="138"/>
      <c r="L483" s="143"/>
      <c r="M483" s="143"/>
    </row>
    <row r="484" spans="2:16" hidden="1" x14ac:dyDescent="0.15">
      <c r="B484" s="139"/>
      <c r="C484" s="147" t="s">
        <v>371</v>
      </c>
      <c r="D484" s="137"/>
      <c r="E484" s="143">
        <v>54</v>
      </c>
      <c r="F484" s="138">
        <v>2900</v>
      </c>
      <c r="G484" s="138">
        <v>1800</v>
      </c>
      <c r="H484" s="138">
        <v>800</v>
      </c>
      <c r="I484" s="138"/>
      <c r="J484" s="138"/>
      <c r="K484" s="138"/>
      <c r="L484" s="143"/>
      <c r="M484" s="143"/>
      <c r="N484" s="3"/>
      <c r="O484" s="3"/>
      <c r="P484" s="3"/>
    </row>
    <row r="485" spans="2:16" hidden="1" x14ac:dyDescent="0.15">
      <c r="B485" s="139"/>
      <c r="C485" s="147" t="s">
        <v>372</v>
      </c>
      <c r="D485" s="137"/>
      <c r="E485" s="143">
        <v>55</v>
      </c>
      <c r="F485" s="138">
        <v>2900</v>
      </c>
      <c r="G485" s="138">
        <v>1800</v>
      </c>
      <c r="H485" s="138">
        <v>800</v>
      </c>
      <c r="I485" s="138"/>
      <c r="J485" s="138"/>
      <c r="K485" s="138"/>
      <c r="L485" s="137"/>
      <c r="M485" s="143"/>
    </row>
    <row r="486" spans="2:16" hidden="1" x14ac:dyDescent="0.15">
      <c r="B486" s="139"/>
      <c r="C486" s="147" t="s">
        <v>373</v>
      </c>
      <c r="D486" s="137"/>
      <c r="E486" s="143">
        <v>56</v>
      </c>
      <c r="F486" s="138">
        <v>2900</v>
      </c>
      <c r="G486" s="138">
        <v>1800</v>
      </c>
      <c r="H486" s="138">
        <v>800</v>
      </c>
      <c r="I486" s="138"/>
      <c r="J486" s="138"/>
      <c r="K486" s="138"/>
      <c r="L486" s="137"/>
      <c r="M486" s="143"/>
    </row>
    <row r="487" spans="2:16" hidden="1" x14ac:dyDescent="0.15">
      <c r="B487" s="139"/>
      <c r="C487" s="147" t="s">
        <v>374</v>
      </c>
      <c r="D487" s="137"/>
      <c r="E487" s="143">
        <v>57</v>
      </c>
      <c r="F487" s="138">
        <v>2900</v>
      </c>
      <c r="G487" s="138">
        <v>1800</v>
      </c>
      <c r="H487" s="138">
        <v>800</v>
      </c>
      <c r="I487" s="138"/>
      <c r="J487" s="138"/>
      <c r="K487" s="138"/>
      <c r="L487" s="137"/>
      <c r="M487" s="143"/>
    </row>
    <row r="488" spans="2:16" hidden="1" x14ac:dyDescent="0.15">
      <c r="B488" s="139"/>
      <c r="C488" s="147" t="s">
        <v>375</v>
      </c>
      <c r="D488" s="137"/>
      <c r="E488" s="143">
        <v>58</v>
      </c>
      <c r="F488" s="143">
        <v>3500</v>
      </c>
      <c r="G488" s="143">
        <v>3200</v>
      </c>
      <c r="H488" s="143">
        <v>2100</v>
      </c>
      <c r="I488" s="138"/>
      <c r="J488" s="138"/>
      <c r="K488" s="138"/>
      <c r="L488" s="137"/>
      <c r="M488" s="143"/>
    </row>
    <row r="489" spans="2:16" hidden="1" x14ac:dyDescent="0.15">
      <c r="B489" s="139"/>
      <c r="C489" s="147" t="s">
        <v>376</v>
      </c>
      <c r="D489" s="137"/>
      <c r="E489" s="143">
        <v>59</v>
      </c>
      <c r="F489" s="138">
        <v>2900</v>
      </c>
      <c r="G489" s="138">
        <v>1800</v>
      </c>
      <c r="H489" s="138">
        <v>800</v>
      </c>
      <c r="I489" s="138"/>
      <c r="J489" s="138"/>
      <c r="K489" s="138"/>
      <c r="L489" s="137"/>
      <c r="M489" s="143"/>
    </row>
    <row r="490" spans="2:16" hidden="1" x14ac:dyDescent="0.15">
      <c r="B490" s="139"/>
      <c r="C490" s="147" t="s">
        <v>377</v>
      </c>
      <c r="D490" s="137"/>
      <c r="E490" s="143">
        <v>60</v>
      </c>
      <c r="F490" s="138">
        <v>5500</v>
      </c>
      <c r="G490" s="138">
        <v>4500</v>
      </c>
      <c r="H490" s="138">
        <v>4000</v>
      </c>
      <c r="I490" s="138"/>
      <c r="J490" s="138"/>
      <c r="K490" s="138"/>
      <c r="L490" s="137"/>
      <c r="M490" s="143"/>
    </row>
    <row r="491" spans="2:16" hidden="1" x14ac:dyDescent="0.15">
      <c r="B491" s="139"/>
      <c r="C491" s="147" t="s">
        <v>378</v>
      </c>
      <c r="D491" s="137"/>
      <c r="E491" s="143">
        <v>61</v>
      </c>
      <c r="F491" s="138">
        <v>10000</v>
      </c>
      <c r="G491" s="138">
        <v>9000</v>
      </c>
      <c r="H491" s="138">
        <v>8000</v>
      </c>
      <c r="I491" s="138"/>
      <c r="J491" s="138"/>
      <c r="K491" s="138"/>
      <c r="L491" s="143"/>
      <c r="M491" s="143"/>
      <c r="N491" s="3"/>
      <c r="O491" s="3"/>
      <c r="P491" s="3"/>
    </row>
    <row r="492" spans="2:16" hidden="1" x14ac:dyDescent="0.15">
      <c r="B492" s="139"/>
      <c r="C492" s="147" t="s">
        <v>101</v>
      </c>
      <c r="D492" s="137"/>
      <c r="E492" s="143">
        <v>62</v>
      </c>
      <c r="F492" s="138">
        <v>4000</v>
      </c>
      <c r="G492" s="138">
        <v>3000</v>
      </c>
      <c r="H492" s="138">
        <v>1500</v>
      </c>
      <c r="I492" s="138"/>
      <c r="J492" s="138"/>
      <c r="K492" s="138"/>
      <c r="L492" s="143"/>
      <c r="M492" s="143"/>
      <c r="N492" s="3"/>
      <c r="O492" s="3"/>
      <c r="P492" s="3"/>
    </row>
    <row r="493" spans="2:16" hidden="1" x14ac:dyDescent="0.15">
      <c r="B493" s="139"/>
      <c r="C493" s="147" t="s">
        <v>379</v>
      </c>
      <c r="D493" s="137"/>
      <c r="E493" s="143">
        <v>63</v>
      </c>
      <c r="F493" s="138">
        <v>5400</v>
      </c>
      <c r="G493" s="138">
        <v>3900</v>
      </c>
      <c r="H493" s="138">
        <v>2000</v>
      </c>
      <c r="I493" s="138"/>
      <c r="J493" s="138"/>
      <c r="K493" s="138"/>
      <c r="L493" s="143"/>
      <c r="M493" s="143"/>
      <c r="N493" s="3"/>
      <c r="O493" s="3"/>
      <c r="P493" s="3"/>
    </row>
    <row r="494" spans="2:16" hidden="1" x14ac:dyDescent="0.15">
      <c r="B494" s="139"/>
      <c r="C494" s="137" t="s">
        <v>102</v>
      </c>
      <c r="D494" s="137"/>
      <c r="E494" s="143">
        <v>64</v>
      </c>
      <c r="F494" s="138">
        <v>5400</v>
      </c>
      <c r="G494" s="138">
        <v>3900</v>
      </c>
      <c r="H494" s="138">
        <v>2000</v>
      </c>
      <c r="I494" s="138"/>
      <c r="J494" s="138"/>
      <c r="K494" s="138"/>
      <c r="L494" s="143"/>
      <c r="M494" s="143"/>
      <c r="N494" s="3"/>
      <c r="O494" s="3"/>
      <c r="P494" s="3"/>
    </row>
    <row r="495" spans="2:16" hidden="1" x14ac:dyDescent="0.15">
      <c r="B495" s="139"/>
      <c r="C495" s="137" t="s">
        <v>103</v>
      </c>
      <c r="D495" s="137"/>
      <c r="E495" s="138"/>
      <c r="F495" s="138"/>
      <c r="G495" s="138"/>
      <c r="H495" s="138"/>
      <c r="I495" s="138"/>
      <c r="J495" s="138"/>
      <c r="K495" s="138"/>
      <c r="L495" s="143"/>
      <c r="M495" s="143"/>
      <c r="N495" s="3"/>
      <c r="O495" s="3"/>
      <c r="P495" s="3"/>
    </row>
    <row r="496" spans="2:16" hidden="1" x14ac:dyDescent="0.15">
      <c r="B496" s="139"/>
      <c r="C496" s="137" t="s">
        <v>104</v>
      </c>
      <c r="D496" s="137"/>
      <c r="E496" s="138"/>
      <c r="F496" s="138"/>
      <c r="G496" s="138"/>
      <c r="H496" s="138"/>
      <c r="I496" s="138"/>
      <c r="J496" s="138"/>
      <c r="K496" s="138"/>
      <c r="L496" s="143"/>
      <c r="M496" s="143"/>
      <c r="N496" s="3"/>
      <c r="O496" s="3"/>
      <c r="P496" s="3"/>
    </row>
    <row r="497" spans="2:16" hidden="1" x14ac:dyDescent="0.15">
      <c r="B497" s="139"/>
      <c r="C497" s="137" t="s">
        <v>105</v>
      </c>
      <c r="D497" s="137"/>
      <c r="E497" s="138"/>
      <c r="F497" s="138"/>
      <c r="G497" s="138"/>
      <c r="H497" s="138"/>
      <c r="I497" s="138"/>
      <c r="J497" s="138"/>
      <c r="K497" s="138"/>
      <c r="L497" s="143"/>
      <c r="M497" s="143"/>
      <c r="N497" s="3"/>
      <c r="O497" s="3"/>
      <c r="P497" s="3"/>
    </row>
    <row r="498" spans="2:16" hidden="1" x14ac:dyDescent="0.15">
      <c r="B498" s="139"/>
      <c r="C498" s="137" t="s">
        <v>380</v>
      </c>
      <c r="D498" s="137"/>
      <c r="E498" s="138"/>
      <c r="F498" s="138"/>
      <c r="G498" s="138"/>
      <c r="H498" s="138"/>
      <c r="I498" s="138"/>
      <c r="J498" s="138"/>
      <c r="K498" s="138"/>
      <c r="L498" s="143"/>
      <c r="M498" s="143"/>
      <c r="N498" s="3"/>
      <c r="O498" s="3"/>
      <c r="P498" s="3"/>
    </row>
    <row r="499" spans="2:16" hidden="1" x14ac:dyDescent="0.15">
      <c r="B499" s="139"/>
      <c r="C499" s="137" t="s">
        <v>106</v>
      </c>
      <c r="D499" s="137"/>
      <c r="E499" s="138"/>
      <c r="F499" s="138"/>
      <c r="G499" s="138"/>
      <c r="H499" s="138"/>
      <c r="I499" s="143" t="s">
        <v>107</v>
      </c>
      <c r="J499" s="138"/>
      <c r="K499" s="138"/>
      <c r="L499" s="143"/>
      <c r="M499" s="143"/>
      <c r="N499" s="3"/>
      <c r="O499" s="3"/>
      <c r="P499" s="3"/>
    </row>
    <row r="500" spans="2:16" hidden="1" x14ac:dyDescent="0.15">
      <c r="B500" s="139"/>
      <c r="C500" s="137"/>
      <c r="D500" s="137"/>
      <c r="E500" s="138"/>
      <c r="F500" s="138"/>
      <c r="G500" s="138"/>
      <c r="H500" s="143"/>
      <c r="I500" s="143" t="s">
        <v>108</v>
      </c>
      <c r="J500" s="138"/>
      <c r="K500" s="138"/>
      <c r="L500" s="143"/>
      <c r="M500" s="143"/>
      <c r="N500" s="3"/>
      <c r="O500" s="3"/>
      <c r="P500" s="3"/>
    </row>
    <row r="501" spans="2:16" hidden="1" x14ac:dyDescent="0.15">
      <c r="B501" s="139"/>
      <c r="C501" s="137"/>
      <c r="D501" s="137"/>
      <c r="E501" s="138"/>
      <c r="F501" s="138"/>
      <c r="G501" s="138"/>
      <c r="H501" s="143"/>
      <c r="I501" s="143" t="s">
        <v>84</v>
      </c>
      <c r="J501" s="138"/>
      <c r="K501" s="138"/>
      <c r="L501" s="143"/>
      <c r="M501" s="143"/>
      <c r="N501" s="3"/>
      <c r="O501" s="3"/>
      <c r="P501" s="3"/>
    </row>
    <row r="502" spans="2:16" hidden="1" x14ac:dyDescent="0.15">
      <c r="B502" s="139"/>
      <c r="C502" s="137"/>
      <c r="D502" s="137"/>
      <c r="E502" s="138"/>
      <c r="F502" s="138"/>
      <c r="G502" s="138"/>
      <c r="H502" s="143"/>
      <c r="I502" s="143" t="s">
        <v>111</v>
      </c>
      <c r="J502" s="138"/>
      <c r="K502" s="138"/>
      <c r="L502" s="138"/>
      <c r="M502" s="138"/>
    </row>
    <row r="503" spans="2:16" hidden="1" x14ac:dyDescent="0.15">
      <c r="B503" s="139"/>
      <c r="C503" s="137"/>
      <c r="D503" s="137"/>
      <c r="E503" s="138"/>
      <c r="F503" s="138"/>
      <c r="G503" s="138"/>
      <c r="H503" s="143"/>
      <c r="I503" s="143" t="s">
        <v>113</v>
      </c>
      <c r="J503" s="138"/>
      <c r="K503" s="138"/>
      <c r="L503" s="138"/>
      <c r="M503" s="138"/>
    </row>
    <row r="504" spans="2:16" hidden="1" x14ac:dyDescent="0.15">
      <c r="B504" s="139"/>
      <c r="C504" s="137"/>
      <c r="D504" s="137"/>
      <c r="E504" s="138"/>
      <c r="F504" s="138"/>
      <c r="G504" s="138"/>
      <c r="H504" s="143"/>
      <c r="I504" s="143" t="s">
        <v>115</v>
      </c>
      <c r="J504" s="138"/>
      <c r="K504" s="138"/>
      <c r="L504" s="138"/>
      <c r="M504" s="138"/>
    </row>
    <row r="505" spans="2:16" hidden="1" x14ac:dyDescent="0.15">
      <c r="B505" s="139"/>
      <c r="C505" s="137"/>
      <c r="D505" s="137"/>
      <c r="E505" s="138"/>
      <c r="F505" s="138"/>
      <c r="G505" s="138"/>
      <c r="H505" s="143"/>
      <c r="I505" s="138"/>
      <c r="J505" s="138"/>
      <c r="K505" s="138"/>
      <c r="L505" s="138"/>
      <c r="M505" s="138"/>
    </row>
    <row r="506" spans="2:16" hidden="1" x14ac:dyDescent="0.15">
      <c r="B506" s="139"/>
      <c r="C506" s="137"/>
      <c r="D506" s="137"/>
      <c r="E506" s="138"/>
      <c r="F506" s="138"/>
      <c r="G506" s="138"/>
      <c r="H506" s="138"/>
      <c r="I506" s="138"/>
      <c r="J506" s="138"/>
      <c r="K506" s="138"/>
      <c r="L506" s="138"/>
      <c r="M506" s="138"/>
    </row>
    <row r="507" spans="2:16" hidden="1" x14ac:dyDescent="0.15">
      <c r="B507" s="139"/>
      <c r="C507" s="137"/>
      <c r="D507" s="137"/>
      <c r="E507" s="138"/>
      <c r="F507" s="138"/>
      <c r="G507" s="138"/>
      <c r="H507" s="138"/>
      <c r="I507" s="138"/>
      <c r="J507" s="138"/>
      <c r="K507" s="138"/>
      <c r="L507" s="138"/>
      <c r="M507" s="138"/>
    </row>
    <row r="508" spans="2:16" hidden="1" x14ac:dyDescent="0.15">
      <c r="B508" s="136" t="s">
        <v>109</v>
      </c>
      <c r="C508" s="137" t="s">
        <v>110</v>
      </c>
      <c r="D508" s="137"/>
      <c r="E508" s="138"/>
      <c r="F508" s="138"/>
      <c r="G508" s="138"/>
      <c r="H508" s="138"/>
      <c r="I508" s="138"/>
      <c r="J508" s="138"/>
      <c r="K508" s="138"/>
      <c r="L508" s="138"/>
      <c r="M508" s="138"/>
    </row>
    <row r="509" spans="2:16" hidden="1" x14ac:dyDescent="0.15">
      <c r="B509" s="139"/>
      <c r="C509" s="137" t="s">
        <v>112</v>
      </c>
      <c r="D509" s="137"/>
      <c r="E509" s="138"/>
      <c r="F509" s="138"/>
      <c r="G509" s="138"/>
      <c r="H509" s="138"/>
      <c r="I509" s="138"/>
      <c r="J509" s="138"/>
      <c r="K509" s="138"/>
      <c r="L509" s="138"/>
      <c r="M509" s="138"/>
    </row>
    <row r="510" spans="2:16" hidden="1" x14ac:dyDescent="0.15">
      <c r="B510" s="139"/>
      <c r="C510" s="137" t="s">
        <v>114</v>
      </c>
      <c r="D510" s="137"/>
      <c r="E510" s="138"/>
      <c r="F510" s="138"/>
      <c r="G510" s="138"/>
      <c r="H510" s="138"/>
      <c r="I510" s="138"/>
      <c r="J510" s="138"/>
      <c r="K510" s="138"/>
      <c r="L510" s="138"/>
      <c r="M510" s="138"/>
    </row>
    <row r="511" spans="2:16" hidden="1" x14ac:dyDescent="0.15">
      <c r="B511" s="139"/>
      <c r="C511" s="137" t="s">
        <v>116</v>
      </c>
      <c r="D511" s="137"/>
      <c r="E511" s="138"/>
      <c r="F511" s="138"/>
      <c r="G511" s="138"/>
      <c r="H511" s="138"/>
      <c r="I511" s="138"/>
      <c r="J511" s="138"/>
      <c r="K511" s="138"/>
      <c r="L511" s="138"/>
      <c r="M511" s="138"/>
    </row>
    <row r="512" spans="2:16" hidden="1" x14ac:dyDescent="0.15">
      <c r="B512" s="139"/>
      <c r="C512" s="137" t="s">
        <v>117</v>
      </c>
      <c r="D512" s="137"/>
      <c r="E512" s="138"/>
      <c r="F512" s="138"/>
      <c r="G512" s="138"/>
      <c r="H512" s="138"/>
      <c r="I512" s="138"/>
      <c r="J512" s="138"/>
      <c r="K512" s="138"/>
      <c r="L512" s="138"/>
      <c r="M512" s="138"/>
    </row>
    <row r="513" spans="2:13" hidden="1" x14ac:dyDescent="0.15">
      <c r="B513" s="139"/>
      <c r="C513" s="137" t="s">
        <v>118</v>
      </c>
      <c r="D513" s="137"/>
      <c r="E513" s="138"/>
      <c r="F513" s="138"/>
      <c r="G513" s="138"/>
      <c r="H513" s="138"/>
      <c r="I513" s="138"/>
      <c r="J513" s="138"/>
      <c r="K513" s="138"/>
      <c r="L513" s="138"/>
      <c r="M513" s="138"/>
    </row>
    <row r="514" spans="2:13" hidden="1" x14ac:dyDescent="0.15">
      <c r="B514" s="139"/>
      <c r="C514" s="137" t="s">
        <v>119</v>
      </c>
      <c r="D514" s="137"/>
      <c r="E514" s="138"/>
      <c r="F514" s="138"/>
      <c r="G514" s="138"/>
      <c r="H514" s="138"/>
      <c r="I514" s="138"/>
      <c r="J514" s="138"/>
      <c r="K514" s="138"/>
      <c r="L514" s="138"/>
      <c r="M514" s="138"/>
    </row>
    <row r="515" spans="2:13" hidden="1" x14ac:dyDescent="0.15">
      <c r="B515" s="139"/>
      <c r="C515" s="137" t="s">
        <v>120</v>
      </c>
      <c r="D515" s="137"/>
      <c r="E515" s="138"/>
      <c r="F515" s="138"/>
      <c r="G515" s="138"/>
      <c r="H515" s="138"/>
      <c r="I515" s="138"/>
      <c r="J515" s="138"/>
      <c r="K515" s="138"/>
      <c r="L515" s="138"/>
      <c r="M515" s="138"/>
    </row>
    <row r="516" spans="2:13" hidden="1" x14ac:dyDescent="0.15">
      <c r="B516" s="139"/>
      <c r="C516" s="137" t="s">
        <v>121</v>
      </c>
      <c r="D516" s="137"/>
      <c r="E516" s="138"/>
      <c r="F516" s="138"/>
      <c r="G516" s="138"/>
      <c r="H516" s="138"/>
      <c r="I516" s="138"/>
      <c r="J516" s="138"/>
      <c r="K516" s="138"/>
      <c r="L516" s="138"/>
      <c r="M516" s="138"/>
    </row>
    <row r="517" spans="2:13" hidden="1" x14ac:dyDescent="0.15">
      <c r="B517" s="139"/>
      <c r="C517" s="137" t="s">
        <v>122</v>
      </c>
      <c r="D517" s="137"/>
      <c r="E517" s="138"/>
      <c r="F517" s="138"/>
      <c r="G517" s="138"/>
      <c r="H517" s="138"/>
      <c r="I517" s="138"/>
      <c r="J517" s="138"/>
      <c r="K517" s="138"/>
      <c r="L517" s="138"/>
      <c r="M517" s="138"/>
    </row>
    <row r="518" spans="2:13" hidden="1" x14ac:dyDescent="0.15">
      <c r="B518" s="139"/>
      <c r="C518" s="137" t="s">
        <v>123</v>
      </c>
      <c r="D518" s="137"/>
      <c r="E518" s="138"/>
      <c r="F518" s="138"/>
      <c r="G518" s="138"/>
      <c r="H518" s="138"/>
      <c r="I518" s="138" t="s">
        <v>67</v>
      </c>
      <c r="J518" s="138"/>
      <c r="K518" s="138"/>
      <c r="L518" s="138"/>
      <c r="M518" s="138"/>
    </row>
    <row r="519" spans="2:13" hidden="1" x14ac:dyDescent="0.15">
      <c r="B519" s="139"/>
      <c r="C519" s="137" t="s">
        <v>124</v>
      </c>
      <c r="D519" s="137"/>
      <c r="E519" s="138"/>
      <c r="F519" s="138"/>
      <c r="G519" s="138"/>
      <c r="H519" s="138"/>
      <c r="I519" s="138" t="s">
        <v>131</v>
      </c>
      <c r="J519" s="138"/>
      <c r="K519" s="138"/>
      <c r="L519" s="138"/>
      <c r="M519" s="138"/>
    </row>
    <row r="520" spans="2:13" hidden="1" x14ac:dyDescent="0.15">
      <c r="B520" s="139"/>
      <c r="C520" s="137" t="s">
        <v>125</v>
      </c>
      <c r="D520" s="137"/>
      <c r="E520" s="138"/>
      <c r="F520" s="138"/>
      <c r="G520" s="138"/>
      <c r="H520" s="138"/>
      <c r="I520" s="138"/>
      <c r="J520" s="138"/>
      <c r="K520" s="138"/>
      <c r="L520" s="138"/>
      <c r="M520" s="138"/>
    </row>
    <row r="521" spans="2:13" hidden="1" x14ac:dyDescent="0.15">
      <c r="B521" s="139"/>
      <c r="C521" s="137" t="s">
        <v>126</v>
      </c>
      <c r="D521" s="137"/>
      <c r="E521" s="138"/>
      <c r="F521" s="138"/>
      <c r="G521" s="138"/>
      <c r="H521" s="138"/>
      <c r="I521" s="138"/>
      <c r="J521" s="138"/>
      <c r="K521" s="138"/>
      <c r="L521" s="138"/>
      <c r="M521" s="138"/>
    </row>
    <row r="522" spans="2:13" hidden="1" x14ac:dyDescent="0.15">
      <c r="B522" s="139"/>
      <c r="C522" s="137" t="s">
        <v>127</v>
      </c>
      <c r="D522" s="137"/>
      <c r="E522" s="138"/>
      <c r="F522" s="138"/>
      <c r="G522" s="138"/>
      <c r="H522" s="138"/>
      <c r="I522" s="138"/>
      <c r="J522" s="138"/>
      <c r="K522" s="138"/>
      <c r="L522" s="138"/>
      <c r="M522" s="138"/>
    </row>
    <row r="523" spans="2:13" hidden="1" x14ac:dyDescent="0.15">
      <c r="B523" s="139"/>
      <c r="C523" s="137" t="s">
        <v>128</v>
      </c>
      <c r="D523" s="137"/>
      <c r="E523" s="138"/>
      <c r="F523" s="138"/>
      <c r="G523" s="138"/>
      <c r="H523" s="138"/>
      <c r="I523" s="138"/>
      <c r="J523" s="138"/>
      <c r="K523" s="138"/>
      <c r="L523" s="138"/>
      <c r="M523" s="138"/>
    </row>
    <row r="524" spans="2:13" hidden="1" x14ac:dyDescent="0.15">
      <c r="B524" s="139"/>
      <c r="C524" s="137" t="s">
        <v>129</v>
      </c>
      <c r="D524" s="137"/>
      <c r="E524" s="138"/>
      <c r="F524" s="138"/>
      <c r="G524" s="138"/>
      <c r="H524" s="138"/>
      <c r="I524" s="138"/>
      <c r="J524" s="138"/>
      <c r="K524" s="138"/>
      <c r="L524" s="138"/>
      <c r="M524" s="138"/>
    </row>
    <row r="525" spans="2:13" hidden="1" x14ac:dyDescent="0.15">
      <c r="B525" s="139"/>
      <c r="C525" s="137" t="s">
        <v>130</v>
      </c>
      <c r="D525" s="137"/>
      <c r="E525" s="138"/>
      <c r="F525" s="138"/>
      <c r="G525" s="138"/>
      <c r="H525" s="138"/>
      <c r="I525" s="138"/>
      <c r="J525" s="138"/>
      <c r="K525" s="138"/>
      <c r="L525" s="138"/>
      <c r="M525" s="138"/>
    </row>
    <row r="526" spans="2:13" hidden="1" x14ac:dyDescent="0.15">
      <c r="B526" s="139"/>
      <c r="C526" s="137" t="s">
        <v>132</v>
      </c>
      <c r="D526" s="137"/>
      <c r="E526" s="138"/>
      <c r="F526" s="138"/>
      <c r="G526" s="138"/>
      <c r="H526" s="138"/>
      <c r="I526" s="138"/>
      <c r="J526" s="138"/>
      <c r="K526" s="138"/>
      <c r="L526" s="138"/>
      <c r="M526" s="138"/>
    </row>
    <row r="527" spans="2:13" hidden="1" x14ac:dyDescent="0.15">
      <c r="B527" s="139"/>
      <c r="C527" s="137" t="s">
        <v>133</v>
      </c>
      <c r="D527" s="137"/>
      <c r="E527" s="138"/>
      <c r="F527" s="138"/>
      <c r="G527" s="138"/>
      <c r="H527" s="138"/>
      <c r="I527" s="138"/>
      <c r="J527" s="138"/>
      <c r="K527" s="138"/>
      <c r="L527" s="138"/>
      <c r="M527" s="138"/>
    </row>
    <row r="528" spans="2:13" hidden="1" x14ac:dyDescent="0.15">
      <c r="B528" s="139"/>
      <c r="C528" s="137" t="s">
        <v>134</v>
      </c>
      <c r="D528" s="137"/>
      <c r="E528" s="138"/>
      <c r="F528" s="138"/>
      <c r="G528" s="138"/>
      <c r="H528" s="138"/>
      <c r="I528" s="138"/>
      <c r="J528" s="138"/>
      <c r="K528" s="138"/>
      <c r="L528" s="138"/>
      <c r="M528" s="138"/>
    </row>
    <row r="529" spans="2:13" hidden="1" x14ac:dyDescent="0.15">
      <c r="B529" s="139"/>
      <c r="C529" s="137" t="s">
        <v>135</v>
      </c>
      <c r="D529" s="137"/>
      <c r="E529" s="138"/>
      <c r="F529" s="138"/>
      <c r="G529" s="138"/>
      <c r="H529" s="138"/>
      <c r="I529" s="138"/>
      <c r="J529" s="138"/>
      <c r="K529" s="138"/>
      <c r="L529" s="138"/>
      <c r="M529" s="138"/>
    </row>
    <row r="530" spans="2:13" hidden="1" x14ac:dyDescent="0.15">
      <c r="B530" s="139"/>
      <c r="C530" s="137" t="s">
        <v>136</v>
      </c>
      <c r="D530" s="137"/>
      <c r="E530" s="138"/>
      <c r="F530" s="138"/>
      <c r="G530" s="138"/>
      <c r="H530" s="138"/>
      <c r="I530" s="138"/>
      <c r="J530" s="138"/>
      <c r="K530" s="138"/>
      <c r="L530" s="138"/>
      <c r="M530" s="138"/>
    </row>
    <row r="531" spans="2:13" hidden="1" x14ac:dyDescent="0.15">
      <c r="B531" s="139"/>
      <c r="C531" s="137" t="s">
        <v>137</v>
      </c>
      <c r="D531" s="137"/>
      <c r="E531" s="138"/>
      <c r="F531" s="138"/>
      <c r="G531" s="138"/>
      <c r="H531" s="138"/>
      <c r="I531" s="138"/>
      <c r="J531" s="138"/>
      <c r="K531" s="138"/>
      <c r="L531" s="138"/>
      <c r="M531" s="138"/>
    </row>
    <row r="532" spans="2:13" hidden="1" x14ac:dyDescent="0.15">
      <c r="B532" s="139"/>
      <c r="C532" s="137" t="s">
        <v>138</v>
      </c>
      <c r="D532" s="137"/>
      <c r="E532" s="138"/>
      <c r="F532" s="138"/>
      <c r="G532" s="138"/>
      <c r="H532" s="138"/>
      <c r="I532" s="138"/>
      <c r="J532" s="138"/>
      <c r="K532" s="138"/>
      <c r="L532" s="138"/>
      <c r="M532" s="138"/>
    </row>
    <row r="533" spans="2:13" hidden="1" x14ac:dyDescent="0.15">
      <c r="B533" s="139"/>
      <c r="C533" s="137" t="s">
        <v>139</v>
      </c>
      <c r="D533" s="137"/>
      <c r="E533" s="138"/>
      <c r="F533" s="138"/>
      <c r="G533" s="138"/>
      <c r="H533" s="138"/>
      <c r="I533" s="138"/>
      <c r="J533" s="138"/>
      <c r="K533" s="138"/>
      <c r="L533" s="138"/>
      <c r="M533" s="138"/>
    </row>
    <row r="534" spans="2:13" hidden="1" x14ac:dyDescent="0.15">
      <c r="B534" s="139"/>
      <c r="C534" s="137" t="s">
        <v>140</v>
      </c>
      <c r="D534" s="137"/>
      <c r="E534" s="138"/>
      <c r="F534" s="138"/>
      <c r="G534" s="138"/>
      <c r="H534" s="138"/>
      <c r="I534" s="138"/>
      <c r="J534" s="138"/>
      <c r="K534" s="138"/>
      <c r="L534" s="138"/>
      <c r="M534" s="138"/>
    </row>
    <row r="535" spans="2:13" hidden="1" x14ac:dyDescent="0.15">
      <c r="B535" s="139"/>
      <c r="C535" s="137" t="s">
        <v>141</v>
      </c>
      <c r="D535" s="137"/>
      <c r="E535" s="138"/>
      <c r="F535" s="138"/>
      <c r="G535" s="138"/>
      <c r="H535" s="138"/>
      <c r="I535" s="138"/>
      <c r="J535" s="138"/>
      <c r="K535" s="138"/>
      <c r="L535" s="138"/>
      <c r="M535" s="138"/>
    </row>
    <row r="536" spans="2:13" hidden="1" x14ac:dyDescent="0.15">
      <c r="B536" s="139"/>
      <c r="C536" s="137" t="s">
        <v>142</v>
      </c>
      <c r="D536" s="137"/>
      <c r="E536" s="138"/>
      <c r="F536" s="138"/>
      <c r="G536" s="138"/>
      <c r="H536" s="138"/>
      <c r="I536" s="138"/>
      <c r="J536" s="138"/>
      <c r="K536" s="138"/>
      <c r="L536" s="138"/>
      <c r="M536" s="138"/>
    </row>
    <row r="537" spans="2:13" hidden="1" x14ac:dyDescent="0.15">
      <c r="B537" s="139"/>
      <c r="C537" s="137" t="s">
        <v>143</v>
      </c>
      <c r="D537" s="137"/>
      <c r="E537" s="138"/>
      <c r="F537" s="138"/>
      <c r="G537" s="138"/>
      <c r="H537" s="138"/>
      <c r="I537" s="138"/>
      <c r="J537" s="138"/>
      <c r="K537" s="138"/>
      <c r="L537" s="138"/>
      <c r="M537" s="138"/>
    </row>
    <row r="538" spans="2:13" hidden="1" x14ac:dyDescent="0.15">
      <c r="B538" s="139"/>
      <c r="C538" s="137" t="s">
        <v>144</v>
      </c>
      <c r="D538" s="137"/>
      <c r="E538" s="138"/>
      <c r="F538" s="138"/>
      <c r="G538" s="138"/>
      <c r="H538" s="138"/>
      <c r="I538" s="138"/>
      <c r="J538" s="138"/>
      <c r="K538" s="138"/>
      <c r="L538" s="138"/>
      <c r="M538" s="138"/>
    </row>
    <row r="539" spans="2:13" hidden="1" x14ac:dyDescent="0.15">
      <c r="B539" s="139"/>
      <c r="C539" s="137" t="s">
        <v>145</v>
      </c>
      <c r="D539" s="137"/>
      <c r="E539" s="138"/>
      <c r="F539" s="138"/>
      <c r="G539" s="138"/>
      <c r="H539" s="138"/>
      <c r="I539" s="138"/>
      <c r="J539" s="138"/>
      <c r="K539" s="138"/>
      <c r="L539" s="138"/>
      <c r="M539" s="138"/>
    </row>
    <row r="540" spans="2:13" hidden="1" x14ac:dyDescent="0.15">
      <c r="B540" s="139"/>
      <c r="C540" s="137" t="s">
        <v>146</v>
      </c>
      <c r="D540" s="137"/>
      <c r="E540" s="138"/>
      <c r="F540" s="138"/>
      <c r="G540" s="138"/>
      <c r="H540" s="138"/>
      <c r="I540" s="138"/>
      <c r="J540" s="138"/>
      <c r="K540" s="138"/>
      <c r="L540" s="138"/>
      <c r="M540" s="138"/>
    </row>
    <row r="541" spans="2:13" hidden="1" x14ac:dyDescent="0.15">
      <c r="B541" s="139"/>
      <c r="C541" s="137" t="s">
        <v>147</v>
      </c>
      <c r="D541" s="137"/>
      <c r="E541" s="138"/>
      <c r="F541" s="138"/>
      <c r="G541" s="138"/>
      <c r="H541" s="138"/>
      <c r="I541" s="138"/>
      <c r="J541" s="138"/>
      <c r="K541" s="138"/>
      <c r="L541" s="138"/>
      <c r="M541" s="138"/>
    </row>
    <row r="542" spans="2:13" hidden="1" x14ac:dyDescent="0.15">
      <c r="B542" s="139"/>
      <c r="C542" s="137" t="s">
        <v>148</v>
      </c>
      <c r="D542" s="137"/>
      <c r="E542" s="138"/>
      <c r="F542" s="138"/>
      <c r="G542" s="138"/>
      <c r="H542" s="138"/>
      <c r="I542" s="138"/>
      <c r="J542" s="138"/>
      <c r="K542" s="138"/>
      <c r="L542" s="138"/>
      <c r="M542" s="138"/>
    </row>
    <row r="543" spans="2:13" hidden="1" x14ac:dyDescent="0.15">
      <c r="B543" s="139"/>
      <c r="C543" s="137" t="s">
        <v>149</v>
      </c>
      <c r="D543" s="144"/>
      <c r="E543" s="138"/>
      <c r="F543" s="138"/>
      <c r="G543" s="138"/>
      <c r="H543" s="138"/>
      <c r="I543" s="138"/>
      <c r="J543" s="138"/>
      <c r="K543" s="138"/>
      <c r="L543" s="138"/>
      <c r="M543" s="138"/>
    </row>
    <row r="544" spans="2:13" hidden="1" x14ac:dyDescent="0.15">
      <c r="B544" s="138"/>
      <c r="C544" s="137" t="s">
        <v>150</v>
      </c>
      <c r="D544" s="144"/>
      <c r="E544" s="138"/>
      <c r="F544" s="138"/>
      <c r="G544" s="138"/>
      <c r="H544" s="138"/>
      <c r="I544" s="138"/>
      <c r="J544" s="138"/>
      <c r="K544" s="138"/>
      <c r="L544" s="138"/>
      <c r="M544" s="138"/>
    </row>
    <row r="545" spans="2:16" hidden="1" x14ac:dyDescent="0.15">
      <c r="B545" s="138"/>
      <c r="C545" s="137" t="s">
        <v>151</v>
      </c>
      <c r="D545" s="144"/>
      <c r="E545" s="138"/>
      <c r="F545" s="138"/>
      <c r="G545" s="138"/>
      <c r="H545" s="138"/>
      <c r="I545" s="138"/>
      <c r="J545" s="138"/>
      <c r="K545" s="138"/>
      <c r="L545" s="138"/>
      <c r="M545" s="138"/>
    </row>
    <row r="546" spans="2:16" hidden="1" x14ac:dyDescent="0.15">
      <c r="B546" s="138"/>
      <c r="C546" s="137" t="s">
        <v>152</v>
      </c>
      <c r="D546" s="144"/>
      <c r="E546" s="138"/>
      <c r="F546" s="138"/>
      <c r="G546" s="138"/>
      <c r="H546" s="138"/>
      <c r="I546" s="138"/>
      <c r="J546" s="138"/>
      <c r="K546" s="138"/>
      <c r="L546" s="138"/>
      <c r="M546" s="138"/>
    </row>
    <row r="547" spans="2:16" hidden="1" x14ac:dyDescent="0.15">
      <c r="B547" s="138"/>
      <c r="C547" s="137" t="s">
        <v>153</v>
      </c>
      <c r="D547" s="144"/>
      <c r="E547" s="138"/>
      <c r="F547" s="138"/>
      <c r="G547" s="138"/>
      <c r="H547" s="138"/>
      <c r="I547" s="138"/>
      <c r="J547" s="138"/>
      <c r="K547" s="138"/>
      <c r="L547" s="138"/>
      <c r="M547" s="138"/>
    </row>
    <row r="548" spans="2:16" hidden="1" x14ac:dyDescent="0.15">
      <c r="B548" s="138"/>
      <c r="C548" s="137" t="s">
        <v>154</v>
      </c>
      <c r="D548" s="144"/>
      <c r="E548" s="138"/>
      <c r="F548" s="138"/>
      <c r="G548" s="138"/>
      <c r="H548" s="138"/>
      <c r="I548" s="138"/>
      <c r="J548" s="138"/>
      <c r="K548" s="138"/>
      <c r="L548" s="138"/>
      <c r="M548" s="138"/>
    </row>
    <row r="549" spans="2:16" hidden="1" x14ac:dyDescent="0.15">
      <c r="B549" s="138"/>
      <c r="C549" s="137" t="s">
        <v>155</v>
      </c>
      <c r="D549" s="144"/>
      <c r="E549" s="138"/>
      <c r="F549" s="138"/>
      <c r="G549" s="138"/>
      <c r="H549" s="138"/>
      <c r="I549" s="138"/>
      <c r="J549" s="138"/>
      <c r="K549" s="138"/>
      <c r="L549" s="138"/>
      <c r="M549" s="138"/>
    </row>
    <row r="550" spans="2:16" hidden="1" x14ac:dyDescent="0.15">
      <c r="B550" s="138"/>
      <c r="C550" s="137" t="s">
        <v>64</v>
      </c>
      <c r="D550" s="144"/>
      <c r="E550" s="138"/>
      <c r="F550" s="138"/>
      <c r="G550" s="138"/>
      <c r="H550" s="138"/>
      <c r="I550" s="138"/>
      <c r="J550" s="138"/>
      <c r="K550" s="138"/>
      <c r="L550" s="138"/>
      <c r="M550" s="138"/>
    </row>
    <row r="551" spans="2:16" hidden="1" x14ac:dyDescent="0.15">
      <c r="B551" s="138"/>
      <c r="C551" s="137" t="s">
        <v>156</v>
      </c>
      <c r="D551" s="144"/>
      <c r="E551" s="138"/>
      <c r="F551" s="138"/>
      <c r="G551" s="138"/>
      <c r="H551" s="138"/>
      <c r="I551" s="138"/>
      <c r="J551" s="138"/>
      <c r="K551" s="138"/>
      <c r="L551" s="138"/>
      <c r="M551" s="138"/>
    </row>
    <row r="552" spans="2:16" hidden="1" x14ac:dyDescent="0.15">
      <c r="B552" s="138"/>
      <c r="C552" s="137" t="s">
        <v>157</v>
      </c>
      <c r="D552" s="144"/>
      <c r="E552" s="138"/>
      <c r="F552" s="138"/>
      <c r="G552" s="138"/>
      <c r="H552" s="138"/>
      <c r="I552" s="138"/>
      <c r="J552" s="138"/>
      <c r="K552" s="138"/>
      <c r="L552" s="138"/>
      <c r="M552" s="138"/>
    </row>
    <row r="553" spans="2:16" hidden="1" x14ac:dyDescent="0.15">
      <c r="B553" s="138"/>
      <c r="C553" s="137"/>
      <c r="D553" s="144"/>
      <c r="E553" s="138"/>
      <c r="F553" s="138"/>
      <c r="G553" s="138"/>
      <c r="H553" s="138"/>
      <c r="I553" s="138"/>
      <c r="J553" s="138"/>
      <c r="K553" s="138"/>
      <c r="L553" s="138"/>
      <c r="M553" s="138"/>
    </row>
    <row r="554" spans="2:16" hidden="1" x14ac:dyDescent="0.15">
      <c r="B554" s="138"/>
      <c r="C554" s="144"/>
      <c r="D554" s="144"/>
      <c r="E554" s="137"/>
      <c r="F554" s="137"/>
      <c r="G554" s="137"/>
      <c r="H554" s="138"/>
      <c r="I554" s="137"/>
      <c r="J554" s="137"/>
      <c r="K554" s="137"/>
      <c r="L554" s="137"/>
      <c r="M554" s="137"/>
      <c r="N554" s="30"/>
      <c r="O554" s="30"/>
      <c r="P554" s="30"/>
    </row>
    <row r="555" spans="2:16" hidden="1" x14ac:dyDescent="0.15">
      <c r="B555" s="138"/>
      <c r="C555" s="140" t="e">
        <f>+#REF!/10</f>
        <v>#REF!</v>
      </c>
      <c r="D555" s="148" t="s">
        <v>83</v>
      </c>
      <c r="E555" s="149" t="e">
        <f>ROUND(ATAN(C555)*180/PI(),4)</f>
        <v>#REF!</v>
      </c>
      <c r="F555" s="150" t="s">
        <v>270</v>
      </c>
      <c r="G555" s="139" t="e">
        <f>IF(C555=0,0,ROUND(COS(E555*1.5*PI()/180),3))</f>
        <v>#REF!</v>
      </c>
      <c r="H555" s="137"/>
      <c r="I555" s="148"/>
      <c r="J555" s="148"/>
      <c r="K555" s="1434"/>
      <c r="L555" s="1434"/>
      <c r="M555" s="1434"/>
      <c r="N555" s="30"/>
      <c r="O555" s="30"/>
      <c r="P555" s="30"/>
    </row>
    <row r="556" spans="2:16" hidden="1" x14ac:dyDescent="0.15">
      <c r="B556" s="138"/>
      <c r="C556" s="144"/>
      <c r="D556" s="144"/>
      <c r="E556" s="1436"/>
      <c r="F556" s="1435"/>
      <c r="G556" s="1435"/>
      <c r="H556" s="148"/>
      <c r="I556" s="152"/>
      <c r="J556" s="152"/>
      <c r="K556" s="1436"/>
      <c r="L556" s="1435"/>
      <c r="M556" s="1435"/>
      <c r="N556" s="30"/>
      <c r="O556" s="30"/>
      <c r="P556" s="30"/>
    </row>
    <row r="557" spans="2:16" hidden="1" x14ac:dyDescent="0.15">
      <c r="B557" s="138"/>
      <c r="C557" s="144"/>
      <c r="D557" s="144"/>
      <c r="E557" s="1434"/>
      <c r="F557" s="1435"/>
      <c r="G557" s="1435"/>
      <c r="H557" s="151"/>
      <c r="I557" s="152"/>
      <c r="J557" s="152"/>
      <c r="K557" s="1434"/>
      <c r="L557" s="1435"/>
      <c r="M557" s="1435"/>
      <c r="N557" s="30"/>
      <c r="O557" s="30"/>
      <c r="P557" s="30"/>
    </row>
    <row r="558" spans="2:16" hidden="1" x14ac:dyDescent="0.15">
      <c r="B558" s="138"/>
      <c r="C558" s="144"/>
      <c r="D558" s="144"/>
      <c r="E558" s="148"/>
      <c r="F558" s="152"/>
      <c r="G558" s="152"/>
      <c r="H558" s="148"/>
      <c r="I558" s="152"/>
      <c r="J558" s="152"/>
      <c r="K558" s="1434"/>
      <c r="L558" s="1435"/>
      <c r="M558" s="1435"/>
      <c r="N558" s="30"/>
      <c r="O558" s="30"/>
      <c r="P558" s="30"/>
    </row>
    <row r="559" spans="2:16" hidden="1" x14ac:dyDescent="0.15">
      <c r="B559" s="137"/>
      <c r="C559" s="137"/>
      <c r="D559" s="137"/>
      <c r="E559" s="148"/>
      <c r="F559" s="152"/>
      <c r="G559" s="152"/>
      <c r="H559" s="148"/>
      <c r="I559" s="152"/>
      <c r="J559" s="152"/>
      <c r="K559" s="1434"/>
      <c r="L559" s="1435"/>
      <c r="M559" s="1435"/>
      <c r="N559" s="30"/>
      <c r="O559" s="30"/>
      <c r="P559" s="30"/>
    </row>
    <row r="560" spans="2:16" hidden="1" x14ac:dyDescent="0.15">
      <c r="B560" s="137"/>
      <c r="C560" s="136" t="s">
        <v>88</v>
      </c>
      <c r="D560" s="137" t="s">
        <v>381</v>
      </c>
      <c r="E560" s="137"/>
      <c r="F560" s="143"/>
      <c r="G560" s="152"/>
      <c r="H560" s="148"/>
      <c r="I560" s="152"/>
      <c r="J560" s="152"/>
      <c r="K560" s="1434"/>
      <c r="L560" s="1435"/>
      <c r="M560" s="1435"/>
      <c r="N560" s="30"/>
      <c r="O560" s="30"/>
      <c r="P560" s="30"/>
    </row>
    <row r="561" spans="2:16" hidden="1" x14ac:dyDescent="0.15">
      <c r="B561" s="140"/>
      <c r="C561" s="139"/>
      <c r="D561" s="137" t="s">
        <v>382</v>
      </c>
      <c r="E561" s="137"/>
      <c r="F561" s="143"/>
      <c r="G561" s="152"/>
      <c r="H561" s="148"/>
      <c r="I561" s="152"/>
      <c r="J561" s="152"/>
      <c r="K561" s="1434"/>
      <c r="L561" s="1435"/>
      <c r="M561" s="1435"/>
      <c r="N561" s="30"/>
      <c r="O561" s="30"/>
      <c r="P561" s="30"/>
    </row>
    <row r="562" spans="2:16" hidden="1" x14ac:dyDescent="0.15">
      <c r="B562" s="140"/>
      <c r="C562" s="139"/>
      <c r="D562" s="137" t="s">
        <v>383</v>
      </c>
      <c r="E562" s="137"/>
      <c r="F562" s="143"/>
      <c r="G562" s="152"/>
      <c r="H562" s="148"/>
      <c r="I562" s="152"/>
      <c r="J562" s="152"/>
      <c r="K562" s="1434"/>
      <c r="L562" s="1435"/>
      <c r="M562" s="1435"/>
      <c r="N562" s="30"/>
      <c r="O562" s="30"/>
      <c r="P562" s="30"/>
    </row>
    <row r="563" spans="2:16" hidden="1" x14ac:dyDescent="0.15">
      <c r="B563" s="140"/>
      <c r="C563" s="143"/>
      <c r="D563" s="137" t="s">
        <v>220</v>
      </c>
      <c r="E563" s="143"/>
      <c r="F563" s="143"/>
      <c r="G563" s="153"/>
      <c r="H563" s="148"/>
      <c r="I563" s="140"/>
      <c r="J563" s="140"/>
      <c r="K563" s="140"/>
      <c r="L563" s="140"/>
      <c r="M563" s="140"/>
      <c r="N563" s="30"/>
      <c r="O563" s="30"/>
      <c r="P563" s="30"/>
    </row>
    <row r="564" spans="2:16" hidden="1" x14ac:dyDescent="0.15">
      <c r="B564" s="140"/>
      <c r="C564" s="143"/>
      <c r="D564" s="137" t="s">
        <v>221</v>
      </c>
      <c r="E564" s="143"/>
      <c r="F564" s="143"/>
      <c r="G564" s="148"/>
      <c r="H564" s="140"/>
      <c r="I564" s="140"/>
      <c r="J564" s="140"/>
      <c r="K564" s="140"/>
      <c r="L564" s="140"/>
      <c r="M564" s="140"/>
      <c r="N564" s="30"/>
      <c r="O564" s="30"/>
      <c r="P564" s="30"/>
    </row>
    <row r="565" spans="2:16" hidden="1" x14ac:dyDescent="0.15">
      <c r="B565" s="140"/>
      <c r="C565" s="143"/>
      <c r="D565" s="143" t="s">
        <v>384</v>
      </c>
      <c r="E565" s="143"/>
      <c r="F565" s="143"/>
      <c r="G565" s="152"/>
      <c r="H565" s="148"/>
      <c r="I565" s="140"/>
      <c r="J565" s="140"/>
      <c r="K565" s="140"/>
      <c r="L565" s="140"/>
      <c r="M565" s="140"/>
      <c r="N565" s="30"/>
      <c r="O565" s="30"/>
      <c r="P565" s="30"/>
    </row>
    <row r="566" spans="2:16" hidden="1" x14ac:dyDescent="0.15">
      <c r="B566" s="140"/>
      <c r="C566" s="143"/>
      <c r="D566" s="143" t="s">
        <v>222</v>
      </c>
      <c r="E566" s="143"/>
      <c r="F566" s="143"/>
      <c r="G566" s="152"/>
      <c r="H566" s="140"/>
      <c r="I566" s="140"/>
      <c r="J566" s="140"/>
      <c r="K566" s="140"/>
      <c r="L566" s="140"/>
      <c r="M566" s="140"/>
      <c r="N566" s="30"/>
      <c r="O566" s="30"/>
      <c r="P566" s="30"/>
    </row>
    <row r="567" spans="2:16" hidden="1" x14ac:dyDescent="0.15">
      <c r="B567" s="140"/>
      <c r="C567" s="143"/>
      <c r="D567" s="143" t="s">
        <v>223</v>
      </c>
      <c r="E567" s="143"/>
      <c r="F567" s="143"/>
      <c r="G567" s="143" t="s">
        <v>223</v>
      </c>
      <c r="H567" s="140"/>
      <c r="I567" s="140"/>
      <c r="J567" s="140"/>
      <c r="K567" s="140"/>
      <c r="L567" s="140"/>
      <c r="M567" s="140"/>
      <c r="N567" s="30"/>
      <c r="O567" s="30"/>
      <c r="P567" s="30"/>
    </row>
    <row r="568" spans="2:16" hidden="1" x14ac:dyDescent="0.15">
      <c r="B568" s="140"/>
      <c r="C568" s="143"/>
      <c r="D568" s="143" t="s">
        <v>385</v>
      </c>
      <c r="E568" s="143"/>
      <c r="F568" s="143"/>
      <c r="G568" s="143" t="s">
        <v>385</v>
      </c>
      <c r="H568" s="140"/>
      <c r="I568" s="137"/>
      <c r="J568" s="137"/>
      <c r="K568" s="137"/>
      <c r="L568" s="137"/>
      <c r="M568" s="137"/>
      <c r="N568" s="30"/>
      <c r="O568" s="30"/>
      <c r="P568" s="30"/>
    </row>
    <row r="569" spans="2:16" hidden="1" x14ac:dyDescent="0.15">
      <c r="B569" s="99"/>
      <c r="C569" s="143"/>
      <c r="D569" s="143" t="s">
        <v>386</v>
      </c>
      <c r="E569" s="143"/>
      <c r="F569" s="143"/>
      <c r="G569" s="143" t="s">
        <v>386</v>
      </c>
      <c r="H569" s="137"/>
      <c r="I569" s="137"/>
      <c r="J569" s="137"/>
      <c r="K569" s="137"/>
      <c r="L569" s="137"/>
      <c r="M569" s="137"/>
      <c r="N569" s="30"/>
      <c r="O569" s="30"/>
      <c r="P569" s="30"/>
    </row>
    <row r="570" spans="2:16" hidden="1" x14ac:dyDescent="0.15">
      <c r="B570" s="99"/>
      <c r="C570" s="143"/>
      <c r="D570" s="143" t="s">
        <v>387</v>
      </c>
      <c r="E570" s="143"/>
      <c r="F570" s="143"/>
      <c r="G570" s="143" t="s">
        <v>387</v>
      </c>
      <c r="H570" s="137"/>
      <c r="I570" s="138"/>
      <c r="J570" s="138"/>
      <c r="K570" s="138"/>
      <c r="L570" s="138"/>
      <c r="M570" s="138"/>
    </row>
    <row r="571" spans="2:16" hidden="1" x14ac:dyDescent="0.15">
      <c r="B571" s="154"/>
      <c r="C571" s="143"/>
      <c r="D571" s="143" t="s">
        <v>388</v>
      </c>
      <c r="E571" s="143"/>
      <c r="F571" s="143"/>
      <c r="G571" s="143" t="s">
        <v>388</v>
      </c>
      <c r="H571" s="138"/>
      <c r="I571" s="138"/>
      <c r="J571" s="138"/>
      <c r="K571" s="138"/>
      <c r="L571" s="138"/>
      <c r="M571" s="138"/>
    </row>
    <row r="572" spans="2:16" hidden="1" x14ac:dyDescent="0.15">
      <c r="B572" s="154"/>
      <c r="C572" s="143"/>
      <c r="D572" s="143" t="s">
        <v>224</v>
      </c>
      <c r="E572" s="143"/>
      <c r="F572" s="143"/>
      <c r="G572" s="143" t="s">
        <v>224</v>
      </c>
      <c r="H572" s="138"/>
      <c r="I572" s="138"/>
      <c r="J572" s="138"/>
      <c r="K572" s="138"/>
      <c r="L572" s="138"/>
      <c r="M572" s="138"/>
    </row>
    <row r="573" spans="2:16" hidden="1" x14ac:dyDescent="0.15">
      <c r="B573" s="140"/>
      <c r="C573" s="143"/>
      <c r="D573" s="143" t="s">
        <v>225</v>
      </c>
      <c r="E573" s="143"/>
      <c r="F573" s="143"/>
      <c r="G573" s="143" t="s">
        <v>225</v>
      </c>
      <c r="H573" s="138"/>
      <c r="I573" s="138"/>
      <c r="J573" s="138"/>
      <c r="K573" s="138"/>
      <c r="L573" s="138"/>
      <c r="M573" s="138"/>
    </row>
    <row r="574" spans="2:16" hidden="1" x14ac:dyDescent="0.15">
      <c r="B574" s="137"/>
      <c r="C574" s="143"/>
      <c r="D574" s="143" t="s">
        <v>226</v>
      </c>
      <c r="E574" s="143"/>
      <c r="F574" s="143"/>
      <c r="G574" s="143" t="s">
        <v>226</v>
      </c>
      <c r="H574" s="138"/>
      <c r="I574" s="138"/>
      <c r="J574" s="138"/>
      <c r="K574" s="138"/>
      <c r="L574" s="138"/>
      <c r="M574" s="138"/>
    </row>
    <row r="575" spans="2:16" hidden="1" x14ac:dyDescent="0.15">
      <c r="B575" s="138"/>
      <c r="C575" s="143"/>
      <c r="D575" s="143" t="s">
        <v>227</v>
      </c>
      <c r="E575" s="143"/>
      <c r="F575" s="143"/>
      <c r="G575" s="143" t="s">
        <v>227</v>
      </c>
      <c r="H575" s="138"/>
      <c r="I575" s="138"/>
      <c r="J575" s="138"/>
      <c r="K575" s="138"/>
      <c r="L575" s="138"/>
      <c r="M575" s="138"/>
    </row>
    <row r="576" spans="2:16" hidden="1" x14ac:dyDescent="0.15">
      <c r="B576" s="138"/>
      <c r="C576" s="143"/>
      <c r="D576" s="143" t="s">
        <v>228</v>
      </c>
      <c r="E576" s="143"/>
      <c r="F576" s="143"/>
      <c r="G576" s="143" t="s">
        <v>228</v>
      </c>
      <c r="H576" s="138"/>
      <c r="I576" s="138"/>
      <c r="J576" s="138"/>
      <c r="K576" s="138"/>
      <c r="L576" s="138"/>
      <c r="M576" s="138"/>
    </row>
    <row r="577" spans="2:13" hidden="1" x14ac:dyDescent="0.15">
      <c r="B577" s="138"/>
      <c r="C577" s="143"/>
      <c r="D577" s="143" t="s">
        <v>389</v>
      </c>
      <c r="E577" s="143"/>
      <c r="F577" s="143"/>
      <c r="G577" s="143" t="s">
        <v>389</v>
      </c>
      <c r="H577" s="138"/>
      <c r="I577" s="138"/>
      <c r="J577" s="138"/>
      <c r="K577" s="138"/>
      <c r="L577" s="138"/>
      <c r="M577" s="138"/>
    </row>
    <row r="578" spans="2:13" hidden="1" x14ac:dyDescent="0.15">
      <c r="B578" s="138"/>
      <c r="C578" s="143"/>
      <c r="D578" s="143" t="s">
        <v>390</v>
      </c>
      <c r="E578" s="143"/>
      <c r="F578" s="143"/>
      <c r="G578" s="143" t="s">
        <v>390</v>
      </c>
      <c r="H578" s="138"/>
      <c r="I578" s="138"/>
      <c r="J578" s="138"/>
      <c r="K578" s="138"/>
      <c r="L578" s="138"/>
      <c r="M578" s="138"/>
    </row>
    <row r="579" spans="2:13" hidden="1" x14ac:dyDescent="0.15">
      <c r="B579" s="138"/>
      <c r="C579" s="143"/>
      <c r="D579" s="143" t="s">
        <v>391</v>
      </c>
      <c r="E579" s="143"/>
      <c r="F579" s="143"/>
      <c r="G579" s="143" t="s">
        <v>391</v>
      </c>
      <c r="H579" s="138"/>
      <c r="I579" s="138"/>
      <c r="J579" s="138"/>
      <c r="K579" s="138"/>
      <c r="L579" s="138"/>
      <c r="M579" s="138"/>
    </row>
    <row r="580" spans="2:13" hidden="1" x14ac:dyDescent="0.15">
      <c r="B580" s="138"/>
      <c r="C580" s="143"/>
      <c r="D580" s="143" t="s">
        <v>392</v>
      </c>
      <c r="E580" s="143"/>
      <c r="F580" s="143"/>
      <c r="G580" s="143" t="s">
        <v>392</v>
      </c>
      <c r="H580" s="138"/>
      <c r="I580" s="138"/>
      <c r="J580" s="138"/>
      <c r="K580" s="138"/>
      <c r="L580" s="138"/>
      <c r="M580" s="138"/>
    </row>
    <row r="581" spans="2:13" hidden="1" x14ac:dyDescent="0.15">
      <c r="B581" s="138"/>
      <c r="C581" s="143"/>
      <c r="D581" s="143" t="s">
        <v>393</v>
      </c>
      <c r="E581" s="143"/>
      <c r="F581" s="143"/>
      <c r="G581" s="143" t="s">
        <v>393</v>
      </c>
      <c r="H581" s="138"/>
      <c r="I581" s="138"/>
      <c r="J581" s="138"/>
      <c r="K581" s="138"/>
      <c r="L581" s="138"/>
      <c r="M581" s="138"/>
    </row>
    <row r="582" spans="2:13" hidden="1" x14ac:dyDescent="0.15">
      <c r="B582" s="138"/>
      <c r="C582" s="143"/>
      <c r="D582" s="143" t="s">
        <v>394</v>
      </c>
      <c r="E582" s="143"/>
      <c r="F582" s="143"/>
      <c r="G582" s="143" t="s">
        <v>394</v>
      </c>
      <c r="H582" s="138"/>
      <c r="I582" s="138"/>
      <c r="J582" s="138"/>
      <c r="K582" s="138"/>
      <c r="L582" s="138"/>
      <c r="M582" s="138"/>
    </row>
    <row r="583" spans="2:13" hidden="1" x14ac:dyDescent="0.15">
      <c r="B583" s="138"/>
      <c r="C583" s="143"/>
      <c r="D583" s="143" t="s">
        <v>395</v>
      </c>
      <c r="E583" s="143"/>
      <c r="F583" s="143"/>
      <c r="G583" s="143" t="s">
        <v>395</v>
      </c>
      <c r="H583" s="138"/>
      <c r="I583" s="138"/>
      <c r="J583" s="138"/>
      <c r="K583" s="138"/>
      <c r="L583" s="138"/>
      <c r="M583" s="138"/>
    </row>
    <row r="584" spans="2:13" hidden="1" x14ac:dyDescent="0.15">
      <c r="B584" s="138"/>
      <c r="C584" s="143"/>
      <c r="D584" s="143" t="s">
        <v>396</v>
      </c>
      <c r="E584" s="143"/>
      <c r="F584" s="143"/>
      <c r="G584" s="143" t="s">
        <v>396</v>
      </c>
      <c r="H584" s="138"/>
      <c r="I584" s="138"/>
      <c r="J584" s="138"/>
      <c r="K584" s="138"/>
      <c r="L584" s="138"/>
      <c r="M584" s="138"/>
    </row>
    <row r="585" spans="2:13" hidden="1" x14ac:dyDescent="0.15">
      <c r="B585" s="138"/>
      <c r="C585" s="143"/>
      <c r="D585" s="143" t="s">
        <v>397</v>
      </c>
      <c r="E585" s="143"/>
      <c r="F585" s="143"/>
      <c r="G585" s="143" t="s">
        <v>397</v>
      </c>
      <c r="H585" s="138"/>
      <c r="I585" s="138"/>
      <c r="J585" s="138"/>
      <c r="K585" s="138"/>
      <c r="L585" s="138"/>
      <c r="M585" s="138"/>
    </row>
    <row r="586" spans="2:13" hidden="1" x14ac:dyDescent="0.15">
      <c r="B586" s="138"/>
      <c r="C586" s="143"/>
      <c r="D586" s="143" t="s">
        <v>398</v>
      </c>
      <c r="E586" s="143"/>
      <c r="F586" s="143"/>
      <c r="G586" s="143" t="s">
        <v>398</v>
      </c>
      <c r="H586" s="138"/>
      <c r="I586" s="138"/>
      <c r="J586" s="138"/>
      <c r="K586" s="138"/>
      <c r="L586" s="138"/>
      <c r="M586" s="138"/>
    </row>
    <row r="587" spans="2:13" hidden="1" x14ac:dyDescent="0.15">
      <c r="B587" s="138"/>
      <c r="C587" s="143"/>
      <c r="D587" s="143" t="s">
        <v>399</v>
      </c>
      <c r="E587" s="143"/>
      <c r="F587" s="143"/>
      <c r="G587" s="143" t="s">
        <v>399</v>
      </c>
      <c r="H587" s="138"/>
      <c r="I587" s="138"/>
      <c r="J587" s="138"/>
      <c r="K587" s="138"/>
      <c r="L587" s="138"/>
      <c r="M587" s="138"/>
    </row>
    <row r="588" spans="2:13" hidden="1" x14ac:dyDescent="0.15">
      <c r="B588" s="138"/>
      <c r="C588" s="143"/>
      <c r="D588" s="143" t="s">
        <v>229</v>
      </c>
      <c r="E588" s="143"/>
      <c r="F588" s="143"/>
      <c r="G588" s="143" t="s">
        <v>229</v>
      </c>
      <c r="H588" s="138"/>
      <c r="I588" s="138"/>
      <c r="J588" s="138"/>
      <c r="K588" s="138"/>
      <c r="L588" s="138"/>
      <c r="M588" s="138"/>
    </row>
    <row r="589" spans="2:13" hidden="1" x14ac:dyDescent="0.15">
      <c r="B589" s="138"/>
      <c r="C589" s="143"/>
      <c r="D589" s="143" t="s">
        <v>230</v>
      </c>
      <c r="E589" s="143"/>
      <c r="F589" s="143"/>
      <c r="G589" s="143" t="s">
        <v>230</v>
      </c>
      <c r="H589" s="138"/>
      <c r="I589" s="138"/>
      <c r="J589" s="138"/>
      <c r="K589" s="138"/>
      <c r="L589" s="138"/>
      <c r="M589" s="138"/>
    </row>
    <row r="590" spans="2:13" hidden="1" x14ac:dyDescent="0.15">
      <c r="B590" s="138"/>
      <c r="C590" s="143"/>
      <c r="D590" s="143" t="s">
        <v>231</v>
      </c>
      <c r="E590" s="143"/>
      <c r="F590" s="143"/>
      <c r="G590" s="143" t="s">
        <v>231</v>
      </c>
      <c r="H590" s="138"/>
      <c r="I590" s="138"/>
      <c r="J590" s="138"/>
      <c r="K590" s="138"/>
      <c r="L590" s="138"/>
      <c r="M590" s="138"/>
    </row>
    <row r="591" spans="2:13" hidden="1" x14ac:dyDescent="0.15">
      <c r="B591" s="138"/>
      <c r="C591" s="143"/>
      <c r="D591" s="143"/>
      <c r="E591" s="143"/>
      <c r="F591" s="143"/>
      <c r="G591" s="138"/>
      <c r="H591" s="138"/>
      <c r="I591" s="138"/>
      <c r="J591" s="138"/>
      <c r="K591" s="138"/>
      <c r="L591" s="138"/>
      <c r="M591" s="138"/>
    </row>
    <row r="592" spans="2:13" hidden="1" x14ac:dyDescent="0.15">
      <c r="B592" s="138"/>
      <c r="C592" s="143"/>
      <c r="D592" s="143"/>
      <c r="E592" s="143"/>
      <c r="F592" s="143"/>
      <c r="G592" s="138"/>
      <c r="H592" s="138"/>
      <c r="I592" s="138"/>
      <c r="J592" s="138"/>
      <c r="K592" s="138"/>
      <c r="L592" s="138"/>
      <c r="M592" s="138"/>
    </row>
    <row r="593" spans="2:13" hidden="1" x14ac:dyDescent="0.15">
      <c r="B593" s="138"/>
      <c r="C593" s="143"/>
      <c r="D593" s="143"/>
      <c r="E593" s="143"/>
      <c r="F593" s="143"/>
      <c r="G593" s="138"/>
      <c r="H593" s="138"/>
      <c r="I593" s="138"/>
      <c r="J593" s="138"/>
      <c r="K593" s="138"/>
      <c r="L593" s="138"/>
      <c r="M593" s="138"/>
    </row>
    <row r="594" spans="2:13" hidden="1" x14ac:dyDescent="0.15">
      <c r="B594" s="138"/>
      <c r="C594" s="139" t="s">
        <v>90</v>
      </c>
      <c r="D594" s="137" t="s">
        <v>400</v>
      </c>
      <c r="E594" s="137"/>
      <c r="F594" s="143"/>
      <c r="G594" s="138"/>
      <c r="H594" s="138"/>
      <c r="I594" s="138"/>
      <c r="J594" s="138"/>
      <c r="K594" s="138"/>
      <c r="L594" s="138"/>
      <c r="M594" s="138"/>
    </row>
    <row r="595" spans="2:13" hidden="1" x14ac:dyDescent="0.15">
      <c r="B595" s="138"/>
      <c r="C595" s="139" t="s">
        <v>91</v>
      </c>
      <c r="D595" s="137" t="s">
        <v>401</v>
      </c>
      <c r="E595" s="137"/>
      <c r="F595" s="143"/>
      <c r="G595" s="138"/>
      <c r="H595" s="138"/>
      <c r="I595" s="138"/>
      <c r="J595" s="138"/>
      <c r="K595" s="138"/>
      <c r="L595" s="138"/>
      <c r="M595" s="138"/>
    </row>
    <row r="596" spans="2:13" hidden="1" x14ac:dyDescent="0.15">
      <c r="B596" s="138"/>
      <c r="C596" s="139"/>
      <c r="D596" s="137" t="s">
        <v>402</v>
      </c>
      <c r="E596" s="137"/>
      <c r="F596" s="143"/>
      <c r="G596" s="138"/>
      <c r="H596" s="138"/>
      <c r="I596" s="138"/>
      <c r="J596" s="138"/>
      <c r="K596" s="138"/>
      <c r="L596" s="138"/>
      <c r="M596" s="138"/>
    </row>
    <row r="597" spans="2:13" hidden="1" x14ac:dyDescent="0.15">
      <c r="B597" s="138"/>
      <c r="C597" s="143"/>
      <c r="D597" s="137" t="s">
        <v>403</v>
      </c>
      <c r="E597" s="147"/>
      <c r="F597" s="143"/>
      <c r="G597" s="138"/>
      <c r="H597" s="138"/>
      <c r="I597" s="138"/>
      <c r="J597" s="138"/>
      <c r="K597" s="138"/>
      <c r="L597" s="138"/>
      <c r="M597" s="138"/>
    </row>
    <row r="598" spans="2:13" hidden="1" x14ac:dyDescent="0.15">
      <c r="B598" s="138"/>
      <c r="C598" s="143"/>
      <c r="D598" s="137" t="s">
        <v>404</v>
      </c>
      <c r="E598" s="147"/>
      <c r="F598" s="143"/>
      <c r="G598" s="138"/>
      <c r="H598" s="138"/>
      <c r="I598" s="138"/>
      <c r="J598" s="138"/>
      <c r="K598" s="138"/>
      <c r="L598" s="138"/>
      <c r="M598" s="138"/>
    </row>
    <row r="599" spans="2:13" hidden="1" x14ac:dyDescent="0.15">
      <c r="B599" s="138"/>
      <c r="C599" s="143"/>
      <c r="D599" s="137" t="s">
        <v>405</v>
      </c>
      <c r="E599" s="147"/>
      <c r="F599" s="143"/>
      <c r="G599" s="138"/>
      <c r="H599" s="138"/>
      <c r="I599" s="138"/>
      <c r="J599" s="138"/>
      <c r="K599" s="138"/>
      <c r="L599" s="138"/>
      <c r="M599" s="138"/>
    </row>
    <row r="600" spans="2:13" hidden="1" x14ac:dyDescent="0.15">
      <c r="B600" s="138"/>
      <c r="C600" s="139"/>
      <c r="D600" s="137" t="s">
        <v>232</v>
      </c>
      <c r="E600" s="137"/>
      <c r="F600" s="143"/>
      <c r="G600" s="138"/>
      <c r="H600" s="138"/>
      <c r="I600" s="138"/>
      <c r="J600" s="138"/>
      <c r="K600" s="138"/>
      <c r="L600" s="138"/>
      <c r="M600" s="138"/>
    </row>
    <row r="601" spans="2:13" hidden="1" x14ac:dyDescent="0.15">
      <c r="B601" s="138"/>
      <c r="C601" s="139"/>
      <c r="D601" s="137" t="s">
        <v>406</v>
      </c>
      <c r="E601" s="137"/>
      <c r="F601" s="143"/>
      <c r="G601" s="138"/>
      <c r="H601" s="138"/>
      <c r="I601" s="138"/>
      <c r="J601" s="138"/>
      <c r="K601" s="138"/>
      <c r="L601" s="138"/>
      <c r="M601" s="138"/>
    </row>
    <row r="602" spans="2:13" hidden="1" x14ac:dyDescent="0.15">
      <c r="B602" s="138"/>
      <c r="C602" s="143"/>
      <c r="D602" s="147"/>
      <c r="E602" s="147"/>
      <c r="F602" s="143"/>
      <c r="G602" s="138"/>
      <c r="H602" s="138"/>
      <c r="I602" s="138"/>
      <c r="J602" s="138"/>
      <c r="K602" s="138"/>
      <c r="L602" s="138"/>
      <c r="M602" s="138"/>
    </row>
    <row r="603" spans="2:13" hidden="1" x14ac:dyDescent="0.15">
      <c r="B603" s="138"/>
      <c r="C603" s="136"/>
      <c r="D603" s="137"/>
      <c r="E603" s="137"/>
      <c r="F603" s="143"/>
      <c r="G603" s="138"/>
      <c r="H603" s="138"/>
      <c r="I603" s="138"/>
      <c r="J603" s="138"/>
      <c r="K603" s="138"/>
      <c r="L603" s="138"/>
      <c r="M603" s="138"/>
    </row>
    <row r="604" spans="2:13" hidden="1" x14ac:dyDescent="0.15">
      <c r="B604" s="138"/>
      <c r="C604" s="136"/>
      <c r="D604" s="137"/>
      <c r="E604" s="137"/>
      <c r="F604" s="143"/>
      <c r="G604" s="138"/>
      <c r="H604" s="138"/>
      <c r="I604" s="138"/>
      <c r="J604" s="138"/>
      <c r="K604" s="138"/>
      <c r="L604" s="138"/>
      <c r="M604" s="138"/>
    </row>
    <row r="605" spans="2:13" hidden="1" x14ac:dyDescent="0.15">
      <c r="B605" s="138"/>
      <c r="C605" s="136"/>
      <c r="D605" s="137" t="s">
        <v>306</v>
      </c>
      <c r="E605" s="137"/>
      <c r="F605" s="143"/>
      <c r="G605" s="138"/>
      <c r="H605" s="138"/>
      <c r="I605" s="138"/>
      <c r="J605" s="138"/>
      <c r="K605" s="138"/>
      <c r="L605" s="138"/>
      <c r="M605" s="138"/>
    </row>
    <row r="606" spans="2:13" hidden="1" x14ac:dyDescent="0.15">
      <c r="B606" s="138"/>
      <c r="C606" s="136" t="s">
        <v>92</v>
      </c>
      <c r="D606" s="137" t="s">
        <v>407</v>
      </c>
      <c r="E606" s="137"/>
      <c r="F606" s="143"/>
      <c r="G606" s="138"/>
      <c r="H606" s="138"/>
      <c r="I606" s="138"/>
      <c r="J606" s="138"/>
      <c r="K606" s="138"/>
      <c r="L606" s="138"/>
      <c r="M606" s="138"/>
    </row>
    <row r="607" spans="2:13" hidden="1" x14ac:dyDescent="0.15">
      <c r="B607" s="138"/>
      <c r="C607" s="136"/>
      <c r="D607" s="137" t="s">
        <v>408</v>
      </c>
      <c r="E607" s="137"/>
      <c r="F607" s="143"/>
      <c r="G607" s="138"/>
      <c r="H607" s="138"/>
      <c r="I607" s="138"/>
      <c r="J607" s="138"/>
      <c r="K607" s="138"/>
      <c r="L607" s="138"/>
      <c r="M607" s="138"/>
    </row>
    <row r="608" spans="2:13" hidden="1" x14ac:dyDescent="0.15">
      <c r="B608" s="138"/>
      <c r="C608" s="136"/>
      <c r="D608" s="137" t="s">
        <v>409</v>
      </c>
      <c r="E608" s="137"/>
      <c r="F608" s="143"/>
      <c r="G608" s="138"/>
      <c r="H608" s="138"/>
      <c r="I608" s="138"/>
      <c r="J608" s="138"/>
      <c r="K608" s="138"/>
      <c r="L608" s="138"/>
      <c r="M608" s="138"/>
    </row>
    <row r="609" spans="2:13" hidden="1" x14ac:dyDescent="0.15">
      <c r="B609" s="138"/>
      <c r="C609" s="136"/>
      <c r="D609" s="137" t="s">
        <v>410</v>
      </c>
      <c r="E609" s="137"/>
      <c r="F609" s="143"/>
      <c r="G609" s="138"/>
      <c r="H609" s="138"/>
      <c r="I609" s="138"/>
      <c r="J609" s="138"/>
      <c r="K609" s="138"/>
      <c r="L609" s="138"/>
      <c r="M609" s="138"/>
    </row>
    <row r="610" spans="2:13" hidden="1" x14ac:dyDescent="0.15">
      <c r="B610" s="138"/>
      <c r="C610" s="136"/>
      <c r="D610" s="137" t="s">
        <v>411</v>
      </c>
      <c r="E610" s="137"/>
      <c r="F610" s="143"/>
      <c r="G610" s="138"/>
      <c r="H610" s="138"/>
      <c r="I610" s="138"/>
      <c r="J610" s="138"/>
      <c r="K610" s="138"/>
      <c r="L610" s="138"/>
      <c r="M610" s="138"/>
    </row>
    <row r="611" spans="2:13" hidden="1" x14ac:dyDescent="0.15">
      <c r="B611" s="138"/>
      <c r="C611" s="143"/>
      <c r="D611" s="137" t="s">
        <v>412</v>
      </c>
      <c r="E611" s="147"/>
      <c r="F611" s="143"/>
      <c r="G611" s="138"/>
      <c r="H611" s="138"/>
      <c r="I611" s="138"/>
      <c r="J611" s="138"/>
      <c r="K611" s="138"/>
      <c r="L611" s="138"/>
      <c r="M611" s="138"/>
    </row>
    <row r="612" spans="2:13" hidden="1" x14ac:dyDescent="0.15">
      <c r="B612" s="138"/>
      <c r="C612" s="143"/>
      <c r="D612" s="137" t="s">
        <v>413</v>
      </c>
      <c r="E612" s="143"/>
      <c r="F612" s="143"/>
      <c r="G612" s="138"/>
      <c r="H612" s="138"/>
      <c r="I612" s="138"/>
      <c r="J612" s="138"/>
      <c r="K612" s="138"/>
      <c r="L612" s="138"/>
      <c r="M612" s="138"/>
    </row>
    <row r="613" spans="2:13" hidden="1" x14ac:dyDescent="0.15">
      <c r="B613" s="138"/>
      <c r="C613" s="143"/>
      <c r="D613" s="137" t="s">
        <v>414</v>
      </c>
      <c r="E613" s="143"/>
      <c r="F613" s="143"/>
      <c r="G613" s="138"/>
      <c r="H613" s="138"/>
      <c r="I613" s="138"/>
      <c r="J613" s="138"/>
      <c r="K613" s="138"/>
      <c r="L613" s="138"/>
      <c r="M613" s="138"/>
    </row>
    <row r="614" spans="2:13" hidden="1" x14ac:dyDescent="0.15">
      <c r="B614" s="138"/>
      <c r="C614" s="143"/>
      <c r="D614" s="143" t="s">
        <v>223</v>
      </c>
      <c r="E614" s="143"/>
      <c r="F614" s="143"/>
      <c r="G614" s="138"/>
      <c r="H614" s="138"/>
      <c r="I614" s="138"/>
      <c r="J614" s="138"/>
      <c r="K614" s="138"/>
      <c r="L614" s="138"/>
      <c r="M614" s="138"/>
    </row>
    <row r="615" spans="2:13" hidden="1" x14ac:dyDescent="0.15">
      <c r="B615" s="138"/>
      <c r="C615" s="143"/>
      <c r="D615" s="137" t="s">
        <v>772</v>
      </c>
      <c r="E615" s="143"/>
      <c r="F615" s="143"/>
      <c r="G615" s="138"/>
      <c r="H615" s="138"/>
      <c r="I615" s="138"/>
      <c r="J615" s="138"/>
      <c r="K615" s="138"/>
      <c r="L615" s="138"/>
      <c r="M615" s="138"/>
    </row>
    <row r="616" spans="2:13" hidden="1" x14ac:dyDescent="0.15">
      <c r="B616" s="138"/>
      <c r="C616" s="143"/>
      <c r="D616" s="143" t="s">
        <v>385</v>
      </c>
      <c r="E616" s="143"/>
      <c r="F616" s="143"/>
      <c r="G616" s="138"/>
      <c r="H616" s="138"/>
      <c r="I616" s="138"/>
      <c r="J616" s="138"/>
      <c r="K616" s="138"/>
      <c r="L616" s="138"/>
      <c r="M616" s="138"/>
    </row>
    <row r="617" spans="2:13" hidden="1" x14ac:dyDescent="0.15">
      <c r="B617" s="138"/>
      <c r="C617" s="143"/>
      <c r="D617" s="143" t="s">
        <v>386</v>
      </c>
      <c r="E617" s="143"/>
      <c r="F617" s="143"/>
      <c r="G617" s="138"/>
      <c r="H617" s="138"/>
      <c r="I617" s="138"/>
      <c r="J617" s="138"/>
      <c r="K617" s="138"/>
      <c r="L617" s="138"/>
      <c r="M617" s="138"/>
    </row>
    <row r="618" spans="2:13" hidden="1" x14ac:dyDescent="0.15">
      <c r="B618" s="138"/>
      <c r="C618" s="143"/>
      <c r="D618" s="143" t="s">
        <v>387</v>
      </c>
      <c r="E618" s="143"/>
      <c r="F618" s="143"/>
      <c r="G618" s="138"/>
      <c r="H618" s="138"/>
      <c r="I618" s="138"/>
      <c r="J618" s="138"/>
      <c r="K618" s="138"/>
      <c r="L618" s="138"/>
      <c r="M618" s="138"/>
    </row>
    <row r="619" spans="2:13" hidden="1" x14ac:dyDescent="0.15">
      <c r="B619" s="138"/>
      <c r="C619" s="143"/>
      <c r="D619" s="143" t="s">
        <v>388</v>
      </c>
      <c r="E619" s="143"/>
      <c r="F619" s="143"/>
      <c r="G619" s="138"/>
      <c r="H619" s="138"/>
      <c r="I619" s="138"/>
      <c r="J619" s="138"/>
      <c r="K619" s="138"/>
      <c r="L619" s="138"/>
      <c r="M619" s="138"/>
    </row>
    <row r="620" spans="2:13" hidden="1" x14ac:dyDescent="0.15">
      <c r="B620" s="138"/>
      <c r="C620" s="141"/>
      <c r="D620" s="143" t="s">
        <v>224</v>
      </c>
      <c r="E620" s="142"/>
      <c r="F620" s="143"/>
      <c r="G620" s="138"/>
      <c r="H620" s="138"/>
      <c r="I620" s="138"/>
      <c r="J620" s="138"/>
      <c r="K620" s="138"/>
      <c r="L620" s="138"/>
      <c r="M620" s="138"/>
    </row>
    <row r="621" spans="2:13" hidden="1" x14ac:dyDescent="0.15">
      <c r="B621" s="138"/>
      <c r="C621" s="141"/>
      <c r="D621" s="143" t="s">
        <v>225</v>
      </c>
      <c r="E621" s="142"/>
      <c r="F621" s="143"/>
      <c r="G621" s="138"/>
      <c r="H621" s="138"/>
      <c r="I621" s="138"/>
      <c r="J621" s="138"/>
      <c r="K621" s="138"/>
      <c r="L621" s="138"/>
      <c r="M621" s="138"/>
    </row>
    <row r="622" spans="2:13" hidden="1" x14ac:dyDescent="0.15">
      <c r="B622" s="138"/>
      <c r="C622" s="141"/>
      <c r="D622" s="143" t="s">
        <v>226</v>
      </c>
      <c r="E622" s="142"/>
      <c r="F622" s="143"/>
      <c r="G622" s="138"/>
      <c r="H622" s="138"/>
      <c r="I622" s="138"/>
      <c r="J622" s="138"/>
      <c r="K622" s="138"/>
      <c r="L622" s="138"/>
      <c r="M622" s="138"/>
    </row>
    <row r="623" spans="2:13" hidden="1" x14ac:dyDescent="0.15">
      <c r="B623" s="138"/>
      <c r="C623" s="141"/>
      <c r="D623" s="143" t="s">
        <v>227</v>
      </c>
      <c r="E623" s="142"/>
      <c r="F623" s="143"/>
      <c r="G623" s="138"/>
      <c r="H623" s="138"/>
      <c r="I623" s="138"/>
      <c r="J623" s="138"/>
      <c r="K623" s="138"/>
      <c r="L623" s="138"/>
      <c r="M623" s="138"/>
    </row>
    <row r="624" spans="2:13" hidden="1" x14ac:dyDescent="0.15">
      <c r="B624" s="138"/>
      <c r="C624" s="141"/>
      <c r="D624" s="143" t="s">
        <v>228</v>
      </c>
      <c r="E624" s="142"/>
      <c r="F624" s="143"/>
      <c r="G624" s="138"/>
      <c r="H624" s="138"/>
      <c r="I624" s="138"/>
      <c r="J624" s="138"/>
      <c r="K624" s="138"/>
      <c r="L624" s="138"/>
      <c r="M624" s="138"/>
    </row>
    <row r="625" spans="2:13" hidden="1" x14ac:dyDescent="0.15">
      <c r="B625" s="138"/>
      <c r="C625" s="136"/>
      <c r="D625" s="143" t="s">
        <v>391</v>
      </c>
      <c r="E625" s="137"/>
      <c r="F625" s="143"/>
      <c r="G625" s="138"/>
      <c r="H625" s="138"/>
      <c r="I625" s="138"/>
      <c r="J625" s="138"/>
      <c r="K625" s="138"/>
      <c r="L625" s="138"/>
      <c r="M625" s="138"/>
    </row>
    <row r="626" spans="2:13" hidden="1" x14ac:dyDescent="0.15">
      <c r="B626" s="138"/>
      <c r="C626" s="143"/>
      <c r="D626" s="143" t="s">
        <v>392</v>
      </c>
      <c r="E626" s="143"/>
      <c r="F626" s="143"/>
      <c r="G626" s="138"/>
      <c r="H626" s="138"/>
      <c r="I626" s="138"/>
      <c r="J626" s="138"/>
      <c r="K626" s="138"/>
      <c r="L626" s="138"/>
      <c r="M626" s="138"/>
    </row>
    <row r="627" spans="2:13" hidden="1" x14ac:dyDescent="0.15">
      <c r="B627" s="138"/>
      <c r="C627" s="143"/>
      <c r="D627" s="143" t="s">
        <v>393</v>
      </c>
      <c r="E627" s="143"/>
      <c r="F627" s="143"/>
      <c r="G627" s="138"/>
      <c r="H627" s="138"/>
      <c r="I627" s="138"/>
      <c r="J627" s="138"/>
      <c r="K627" s="138"/>
      <c r="L627" s="138"/>
      <c r="M627" s="138"/>
    </row>
    <row r="628" spans="2:13" hidden="1" x14ac:dyDescent="0.15">
      <c r="B628" s="138"/>
      <c r="C628" s="143"/>
      <c r="D628" s="143" t="s">
        <v>394</v>
      </c>
      <c r="E628" s="143"/>
      <c r="F628" s="143"/>
      <c r="G628" s="138"/>
      <c r="H628" s="138"/>
      <c r="I628" s="138"/>
      <c r="J628" s="138"/>
      <c r="K628" s="138"/>
      <c r="L628" s="138"/>
      <c r="M628" s="138"/>
    </row>
    <row r="629" spans="2:13" hidden="1" x14ac:dyDescent="0.15">
      <c r="B629" s="138"/>
      <c r="C629" s="143"/>
      <c r="D629" s="143" t="s">
        <v>395</v>
      </c>
      <c r="E629" s="143"/>
      <c r="F629" s="143"/>
      <c r="G629" s="138"/>
      <c r="H629" s="138"/>
      <c r="I629" s="138"/>
      <c r="J629" s="138"/>
      <c r="K629" s="138"/>
      <c r="L629" s="138"/>
      <c r="M629" s="138"/>
    </row>
    <row r="630" spans="2:13" hidden="1" x14ac:dyDescent="0.15">
      <c r="B630" s="138"/>
      <c r="C630" s="143"/>
      <c r="D630" s="143" t="s">
        <v>396</v>
      </c>
      <c r="E630" s="143"/>
      <c r="F630" s="143"/>
      <c r="G630" s="138"/>
      <c r="H630" s="138"/>
      <c r="I630" s="138"/>
      <c r="J630" s="138"/>
      <c r="K630" s="138"/>
      <c r="L630" s="138"/>
      <c r="M630" s="138"/>
    </row>
    <row r="631" spans="2:13" hidden="1" x14ac:dyDescent="0.15">
      <c r="B631" s="138"/>
      <c r="C631" s="143"/>
      <c r="D631" s="143" t="s">
        <v>397</v>
      </c>
      <c r="E631" s="143"/>
      <c r="F631" s="143"/>
      <c r="G631" s="138"/>
      <c r="H631" s="138"/>
      <c r="I631" s="138"/>
      <c r="J631" s="138"/>
      <c r="K631" s="138"/>
      <c r="L631" s="138"/>
      <c r="M631" s="138"/>
    </row>
    <row r="632" spans="2:13" hidden="1" x14ac:dyDescent="0.15">
      <c r="B632" s="138"/>
      <c r="C632" s="143"/>
      <c r="D632" s="143" t="s">
        <v>398</v>
      </c>
      <c r="E632" s="143"/>
      <c r="F632" s="143"/>
      <c r="G632" s="138"/>
      <c r="H632" s="138"/>
      <c r="I632" s="138"/>
      <c r="J632" s="138"/>
      <c r="K632" s="138"/>
      <c r="L632" s="138"/>
      <c r="M632" s="138"/>
    </row>
    <row r="633" spans="2:13" hidden="1" x14ac:dyDescent="0.15">
      <c r="B633" s="138"/>
      <c r="C633" s="143"/>
      <c r="D633" s="143" t="s">
        <v>399</v>
      </c>
      <c r="E633" s="143"/>
      <c r="F633" s="143"/>
      <c r="G633" s="138"/>
      <c r="H633" s="138"/>
      <c r="I633" s="138"/>
      <c r="J633" s="138"/>
      <c r="K633" s="138"/>
      <c r="L633" s="138"/>
      <c r="M633" s="138"/>
    </row>
    <row r="634" spans="2:13" x14ac:dyDescent="0.15">
      <c r="B634" s="138"/>
      <c r="C634" s="138"/>
      <c r="D634" s="137"/>
      <c r="E634" s="138"/>
      <c r="F634" s="138"/>
      <c r="G634" s="138"/>
      <c r="H634" s="138"/>
      <c r="I634" s="138"/>
      <c r="J634" s="138"/>
      <c r="K634" s="138"/>
      <c r="L634" s="138"/>
      <c r="M634" s="138"/>
    </row>
    <row r="635" spans="2:13" x14ac:dyDescent="0.15">
      <c r="B635" s="138"/>
      <c r="C635" s="138"/>
      <c r="D635" s="137"/>
      <c r="E635" s="138"/>
      <c r="F635" s="138"/>
      <c r="G635" s="138"/>
      <c r="H635" s="138"/>
      <c r="I635" s="138"/>
      <c r="J635" s="138"/>
      <c r="K635" s="138"/>
      <c r="L635" s="138"/>
      <c r="M635" s="138"/>
    </row>
    <row r="636" spans="2:13" x14ac:dyDescent="0.15">
      <c r="B636" s="138"/>
      <c r="C636" s="138"/>
      <c r="D636" s="137"/>
      <c r="E636" s="138"/>
      <c r="F636" s="138"/>
      <c r="G636" s="138"/>
      <c r="H636" s="138"/>
      <c r="I636" s="138"/>
      <c r="J636" s="138"/>
      <c r="K636" s="138"/>
      <c r="L636" s="138"/>
      <c r="M636" s="138"/>
    </row>
    <row r="637" spans="2:13" x14ac:dyDescent="0.15">
      <c r="B637" s="138"/>
      <c r="C637" s="138"/>
      <c r="D637" s="137"/>
      <c r="E637" s="138"/>
      <c r="F637" s="138"/>
      <c r="G637" s="138"/>
      <c r="H637" s="138"/>
      <c r="I637" s="138"/>
      <c r="J637" s="138"/>
      <c r="K637" s="138"/>
      <c r="L637" s="138"/>
      <c r="M637" s="138"/>
    </row>
    <row r="638" spans="2:13" x14ac:dyDescent="0.15">
      <c r="B638" s="138"/>
      <c r="C638" s="138"/>
      <c r="D638" s="138"/>
      <c r="E638" s="138"/>
      <c r="F638" s="138"/>
      <c r="G638" s="138"/>
      <c r="H638" s="138"/>
      <c r="I638" s="138"/>
      <c r="J638" s="138"/>
      <c r="K638" s="138"/>
      <c r="L638" s="138"/>
      <c r="M638" s="138"/>
    </row>
    <row r="639" spans="2:13" x14ac:dyDescent="0.15">
      <c r="B639" s="138"/>
      <c r="C639" s="138"/>
      <c r="D639" s="138"/>
      <c r="E639" s="138"/>
      <c r="F639" s="138"/>
      <c r="G639" s="138"/>
      <c r="H639" s="138"/>
      <c r="I639" s="138"/>
      <c r="J639" s="138"/>
      <c r="K639" s="138"/>
      <c r="L639" s="138"/>
      <c r="M639" s="138"/>
    </row>
    <row r="640" spans="2:13" x14ac:dyDescent="0.15">
      <c r="B640" s="138"/>
      <c r="C640" s="138"/>
      <c r="D640" s="138"/>
      <c r="E640" s="138"/>
      <c r="F640" s="138"/>
      <c r="G640" s="138"/>
      <c r="H640" s="138"/>
      <c r="I640" s="138"/>
      <c r="J640" s="138"/>
      <c r="K640" s="138"/>
      <c r="L640" s="138"/>
      <c r="M640" s="138"/>
    </row>
    <row r="641" spans="2:13" x14ac:dyDescent="0.15">
      <c r="B641" s="138"/>
      <c r="C641" s="138"/>
      <c r="D641" s="138"/>
      <c r="E641" s="138"/>
      <c r="F641" s="138"/>
      <c r="G641" s="138"/>
      <c r="H641" s="138"/>
      <c r="I641" s="138"/>
      <c r="J641" s="138"/>
      <c r="K641" s="138"/>
      <c r="L641" s="138"/>
      <c r="M641" s="138"/>
    </row>
    <row r="642" spans="2:13" x14ac:dyDescent="0.15">
      <c r="B642" s="138"/>
      <c r="C642" s="138"/>
      <c r="D642" s="138"/>
      <c r="E642" s="138"/>
      <c r="F642" s="138"/>
      <c r="G642" s="138"/>
      <c r="H642" s="138"/>
      <c r="I642" s="138"/>
      <c r="J642" s="138"/>
      <c r="K642" s="138"/>
      <c r="L642" s="138"/>
      <c r="M642" s="138"/>
    </row>
    <row r="643" spans="2:13" x14ac:dyDescent="0.15">
      <c r="B643" s="138"/>
      <c r="C643" s="138"/>
      <c r="D643" s="138"/>
      <c r="E643" s="138"/>
      <c r="F643" s="138"/>
      <c r="G643" s="138"/>
      <c r="H643" s="138"/>
      <c r="I643" s="138"/>
      <c r="J643" s="138"/>
      <c r="K643" s="138"/>
      <c r="L643" s="138"/>
      <c r="M643" s="138"/>
    </row>
    <row r="644" spans="2:13" x14ac:dyDescent="0.15">
      <c r="B644" s="138"/>
      <c r="C644" s="138"/>
      <c r="D644" s="138"/>
      <c r="E644" s="138"/>
      <c r="F644" s="138"/>
      <c r="G644" s="138"/>
      <c r="H644" s="138"/>
      <c r="I644" s="138"/>
      <c r="J644" s="138"/>
      <c r="K644" s="138"/>
      <c r="L644" s="138"/>
      <c r="M644" s="138"/>
    </row>
    <row r="645" spans="2:13" x14ac:dyDescent="0.15">
      <c r="B645" s="138"/>
      <c r="C645" s="138"/>
      <c r="D645" s="138"/>
      <c r="E645" s="138"/>
      <c r="F645" s="138"/>
      <c r="G645" s="138"/>
      <c r="H645" s="138"/>
      <c r="I645" s="138"/>
      <c r="J645" s="138"/>
      <c r="K645" s="138"/>
      <c r="L645" s="138"/>
      <c r="M645" s="138"/>
    </row>
    <row r="646" spans="2:13" x14ac:dyDescent="0.15">
      <c r="B646" s="138"/>
      <c r="C646" s="138"/>
      <c r="D646" s="138"/>
      <c r="E646" s="138"/>
      <c r="F646" s="138"/>
      <c r="G646" s="138"/>
      <c r="H646" s="138"/>
      <c r="I646" s="138"/>
      <c r="J646" s="138"/>
      <c r="K646" s="138"/>
      <c r="L646" s="138"/>
      <c r="M646" s="138"/>
    </row>
    <row r="647" spans="2:13" x14ac:dyDescent="0.15">
      <c r="B647" s="138"/>
      <c r="C647" s="138"/>
      <c r="D647" s="138"/>
      <c r="E647" s="138"/>
      <c r="F647" s="138"/>
      <c r="G647" s="138"/>
      <c r="H647" s="138"/>
      <c r="I647" s="138"/>
      <c r="J647" s="138"/>
      <c r="K647" s="138"/>
      <c r="L647" s="138"/>
      <c r="M647" s="138"/>
    </row>
    <row r="648" spans="2:13" x14ac:dyDescent="0.15">
      <c r="B648" s="138"/>
      <c r="C648" s="138"/>
      <c r="D648" s="138"/>
      <c r="E648" s="138"/>
      <c r="F648" s="138"/>
      <c r="G648" s="138"/>
      <c r="H648" s="138"/>
      <c r="I648" s="138"/>
      <c r="J648" s="138"/>
      <c r="K648" s="138"/>
      <c r="L648" s="138"/>
      <c r="M648" s="138"/>
    </row>
    <row r="649" spans="2:13" x14ac:dyDescent="0.15">
      <c r="B649" s="138"/>
      <c r="C649" s="138"/>
      <c r="D649" s="138"/>
      <c r="E649" s="138"/>
      <c r="F649" s="138"/>
      <c r="G649" s="138"/>
      <c r="H649" s="138"/>
      <c r="I649" s="138"/>
      <c r="J649" s="138"/>
      <c r="K649" s="138"/>
      <c r="L649" s="138"/>
      <c r="M649" s="138"/>
    </row>
    <row r="650" spans="2:13" x14ac:dyDescent="0.15">
      <c r="B650" s="138"/>
      <c r="C650" s="138"/>
      <c r="D650" s="138"/>
      <c r="E650" s="138"/>
      <c r="F650" s="138"/>
      <c r="G650" s="138"/>
      <c r="H650" s="138"/>
      <c r="I650" s="138"/>
      <c r="J650" s="138"/>
      <c r="K650" s="138"/>
      <c r="L650" s="138"/>
      <c r="M650" s="138"/>
    </row>
    <row r="651" spans="2:13" x14ac:dyDescent="0.15">
      <c r="B651" s="138"/>
      <c r="C651" s="138"/>
      <c r="D651" s="138"/>
      <c r="E651" s="138"/>
      <c r="F651" s="138"/>
      <c r="G651" s="138"/>
      <c r="H651" s="138"/>
      <c r="I651" s="138"/>
      <c r="J651" s="138"/>
      <c r="K651" s="138"/>
      <c r="L651" s="138"/>
      <c r="M651" s="138"/>
    </row>
    <row r="652" spans="2:13" x14ac:dyDescent="0.15">
      <c r="B652" s="138"/>
      <c r="C652" s="138"/>
      <c r="D652" s="138"/>
      <c r="E652" s="138"/>
      <c r="F652" s="138"/>
      <c r="G652" s="138"/>
      <c r="H652" s="138"/>
      <c r="I652" s="138"/>
      <c r="J652" s="138"/>
      <c r="K652" s="138"/>
      <c r="L652" s="138"/>
      <c r="M652" s="138"/>
    </row>
    <row r="653" spans="2:13" x14ac:dyDescent="0.15">
      <c r="B653" s="138"/>
      <c r="C653" s="138"/>
      <c r="D653" s="138"/>
      <c r="E653" s="138"/>
      <c r="F653" s="138"/>
      <c r="G653" s="138"/>
      <c r="H653" s="138"/>
      <c r="I653" s="138"/>
      <c r="J653" s="138"/>
      <c r="K653" s="138"/>
      <c r="L653" s="138"/>
      <c r="M653" s="138"/>
    </row>
    <row r="654" spans="2:13" x14ac:dyDescent="0.15">
      <c r="B654" s="138"/>
      <c r="C654" s="138"/>
      <c r="D654" s="138"/>
      <c r="E654" s="138"/>
      <c r="F654" s="138"/>
      <c r="G654" s="138"/>
      <c r="H654" s="138"/>
      <c r="I654" s="138"/>
      <c r="J654" s="138"/>
      <c r="K654" s="138"/>
      <c r="L654" s="138"/>
      <c r="M654" s="138"/>
    </row>
    <row r="655" spans="2:13" x14ac:dyDescent="0.15">
      <c r="B655" s="138"/>
      <c r="C655" s="138"/>
      <c r="D655" s="138"/>
      <c r="E655" s="138"/>
      <c r="F655" s="138"/>
      <c r="G655" s="138"/>
      <c r="H655" s="138"/>
      <c r="I655" s="138"/>
      <c r="J655" s="138"/>
      <c r="K655" s="138"/>
      <c r="L655" s="138"/>
      <c r="M655" s="138"/>
    </row>
    <row r="656" spans="2:13" x14ac:dyDescent="0.15">
      <c r="B656" s="138"/>
      <c r="C656" s="138"/>
      <c r="D656" s="138"/>
      <c r="E656" s="138"/>
      <c r="F656" s="138"/>
      <c r="G656" s="138"/>
      <c r="H656" s="138"/>
      <c r="I656" s="138"/>
      <c r="J656" s="138"/>
      <c r="K656" s="138"/>
      <c r="L656" s="138"/>
      <c r="M656" s="138"/>
    </row>
    <row r="657" spans="2:13" x14ac:dyDescent="0.15">
      <c r="B657" s="138"/>
      <c r="C657" s="138"/>
      <c r="D657" s="138"/>
      <c r="E657" s="138"/>
      <c r="F657" s="138"/>
      <c r="G657" s="138"/>
      <c r="H657" s="138"/>
      <c r="I657" s="138"/>
      <c r="J657" s="138"/>
      <c r="K657" s="138"/>
      <c r="L657" s="138"/>
      <c r="M657" s="138"/>
    </row>
    <row r="658" spans="2:13" x14ac:dyDescent="0.15">
      <c r="B658" s="138"/>
      <c r="C658" s="138"/>
      <c r="D658" s="138"/>
      <c r="E658" s="138"/>
      <c r="F658" s="138"/>
      <c r="G658" s="138"/>
      <c r="H658" s="138"/>
      <c r="I658" s="138"/>
      <c r="J658" s="138"/>
      <c r="K658" s="138"/>
      <c r="L658" s="138"/>
      <c r="M658" s="138"/>
    </row>
    <row r="659" spans="2:13" x14ac:dyDescent="0.15">
      <c r="B659" s="138"/>
      <c r="C659" s="138"/>
      <c r="D659" s="138"/>
      <c r="E659" s="138"/>
      <c r="F659" s="138"/>
      <c r="G659" s="138"/>
      <c r="H659" s="138"/>
      <c r="I659" s="138"/>
      <c r="J659" s="138"/>
      <c r="K659" s="138"/>
      <c r="L659" s="138"/>
      <c r="M659" s="138"/>
    </row>
    <row r="660" spans="2:13" x14ac:dyDescent="0.15">
      <c r="B660" s="138"/>
      <c r="C660" s="138"/>
      <c r="D660" s="138"/>
      <c r="E660" s="138"/>
      <c r="F660" s="138"/>
      <c r="G660" s="138"/>
      <c r="H660" s="138"/>
      <c r="I660" s="138"/>
      <c r="J660" s="138"/>
      <c r="K660" s="138"/>
      <c r="L660" s="138"/>
      <c r="M660" s="138"/>
    </row>
    <row r="661" spans="2:13" x14ac:dyDescent="0.15">
      <c r="B661" s="138"/>
      <c r="C661" s="138"/>
      <c r="D661" s="138"/>
      <c r="E661" s="138"/>
      <c r="F661" s="138"/>
      <c r="G661" s="138"/>
      <c r="H661" s="138"/>
      <c r="I661" s="138"/>
      <c r="J661" s="138"/>
      <c r="K661" s="138"/>
      <c r="L661" s="138"/>
      <c r="M661" s="138"/>
    </row>
    <row r="662" spans="2:13" x14ac:dyDescent="0.15">
      <c r="B662" s="138"/>
      <c r="C662" s="138"/>
      <c r="D662" s="138"/>
      <c r="E662" s="138"/>
      <c r="F662" s="138"/>
      <c r="G662" s="138"/>
      <c r="H662" s="138"/>
      <c r="I662" s="138"/>
      <c r="J662" s="138"/>
      <c r="K662" s="138"/>
      <c r="L662" s="138"/>
      <c r="M662" s="138"/>
    </row>
  </sheetData>
  <sheetProtection password="CC2D" sheet="1" objects="1" scenarios="1"/>
  <mergeCells count="29">
    <mergeCell ref="K562:M562"/>
    <mergeCell ref="K558:M558"/>
    <mergeCell ref="K559:M559"/>
    <mergeCell ref="K561:M561"/>
    <mergeCell ref="E334:F334"/>
    <mergeCell ref="E331:F331"/>
    <mergeCell ref="E332:F332"/>
    <mergeCell ref="E333:F333"/>
    <mergeCell ref="K560:M560"/>
    <mergeCell ref="K556:M556"/>
    <mergeCell ref="E557:G557"/>
    <mergeCell ref="K557:M557"/>
    <mergeCell ref="K555:M555"/>
    <mergeCell ref="E556:G556"/>
    <mergeCell ref="C61:C62"/>
    <mergeCell ref="D61:D62"/>
    <mergeCell ref="E61:E62"/>
    <mergeCell ref="F61:F62"/>
    <mergeCell ref="G58:G59"/>
    <mergeCell ref="G61:G62"/>
    <mergeCell ref="F55:F56"/>
    <mergeCell ref="G55:G56"/>
    <mergeCell ref="C55:C56"/>
    <mergeCell ref="F58:F59"/>
    <mergeCell ref="D55:D56"/>
    <mergeCell ref="C58:C59"/>
    <mergeCell ref="D58:D59"/>
    <mergeCell ref="E58:E59"/>
    <mergeCell ref="E55:E56"/>
  </mergeCells>
  <phoneticPr fontId="3"/>
  <dataValidations count="8">
    <dataValidation type="list" allowBlank="1" showInputMessage="1" showErrorMessage="1" sqref="D363" xr:uid="{00000000-0002-0000-0600-000000000000}">
      <formula1>$C$481:$C$483</formula1>
    </dataValidation>
    <dataValidation type="list" allowBlank="1" showInputMessage="1" showErrorMessage="1" sqref="D28 D18 D20 D22 D24 D26 D32 D30 D34 D36" xr:uid="{00000000-0002-0000-0600-000001000000}">
      <formula1>$C$424:$C$431</formula1>
    </dataValidation>
    <dataValidation type="list" allowBlank="1" showInputMessage="1" showErrorMessage="1" sqref="C27 C19 C23 C31 C35" xr:uid="{00000000-0002-0000-0600-000002000000}">
      <formula1>$C$432:$C$435</formula1>
    </dataValidation>
    <dataValidation type="list" allowBlank="1" showInputMessage="1" showErrorMessage="1" sqref="C10 C7" xr:uid="{00000000-0002-0000-0600-000003000000}">
      <formula1>$C$413:$C$417</formula1>
    </dataValidation>
    <dataValidation type="list" showInputMessage="1" showErrorMessage="1" sqref="D9 D5" xr:uid="{00000000-0002-0000-0600-000004000000}">
      <formula1>$C$408:$C$412</formula1>
    </dataValidation>
    <dataValidation type="list" allowBlank="1" showInputMessage="1" showErrorMessage="1" sqref="D4" xr:uid="{00000000-0002-0000-0600-000005000000}">
      <formula1>$C$399:$C$404</formula1>
    </dataValidation>
    <dataValidation type="list" allowBlank="1" showInputMessage="1" showErrorMessage="1" sqref="D6" xr:uid="{00000000-0002-0000-0600-000006000000}">
      <formula1>$C$405:$C$407</formula1>
    </dataValidation>
    <dataValidation type="list" allowBlank="1" showInputMessage="1" showErrorMessage="1" sqref="C12:C15" xr:uid="{00000000-0002-0000-0600-000007000000}">
      <formula1>$D$604:$D$633</formula1>
    </dataValidation>
  </dataValidations>
  <pageMargins left="0.78740157480314965" right="0.31496062992125984" top="0.98425196850393704" bottom="0.39370078740157483" header="0.51181102362204722" footer="0.51181102362204722"/>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797"/>
  <sheetViews>
    <sheetView showGridLines="0" showRowColHeaders="0" showZeros="0" workbookViewId="0">
      <selection activeCell="I28" sqref="I28"/>
    </sheetView>
  </sheetViews>
  <sheetFormatPr defaultRowHeight="14.25" x14ac:dyDescent="0.15"/>
  <cols>
    <col min="1" max="1" width="5.75" style="3" customWidth="1"/>
    <col min="2" max="2" width="3.875" style="3" customWidth="1"/>
    <col min="3" max="3" width="9" style="3"/>
    <col min="4" max="4" width="10.75" style="3" customWidth="1"/>
    <col min="5" max="5" width="9" style="3"/>
    <col min="6" max="10" width="6.625" style="3" customWidth="1"/>
    <col min="11" max="31" width="9" style="3"/>
    <col min="32" max="40" width="9" style="3" hidden="1" customWidth="1"/>
    <col min="41" max="16384" width="9" style="3"/>
  </cols>
  <sheetData>
    <row r="1" spans="1:40" ht="15" thickBot="1" x14ac:dyDescent="0.2">
      <c r="A1" s="194"/>
      <c r="B1" s="302"/>
      <c r="C1" s="798" t="s">
        <v>1210</v>
      </c>
      <c r="D1" s="302"/>
      <c r="E1" s="302"/>
      <c r="F1" s="302"/>
      <c r="G1" s="302"/>
      <c r="H1" s="302"/>
      <c r="I1" s="302"/>
      <c r="J1" s="302"/>
      <c r="K1" s="302"/>
      <c r="L1" s="194"/>
      <c r="M1" s="607" t="s">
        <v>1211</v>
      </c>
      <c r="N1" s="194"/>
      <c r="O1" s="194"/>
      <c r="P1" s="194"/>
      <c r="Q1" s="194"/>
      <c r="R1" s="194"/>
      <c r="S1" s="194"/>
      <c r="T1" s="194"/>
      <c r="U1" s="194"/>
      <c r="V1" s="194"/>
      <c r="W1" s="607" t="s">
        <v>1212</v>
      </c>
      <c r="X1" s="194"/>
      <c r="Y1" s="194"/>
      <c r="Z1" s="194"/>
      <c r="AA1" s="194"/>
      <c r="AB1" s="194"/>
      <c r="AC1" s="194"/>
      <c r="AD1" s="194"/>
      <c r="AE1" s="194"/>
    </row>
    <row r="2" spans="1:40" ht="15" thickBot="1" x14ac:dyDescent="0.2">
      <c r="A2" s="194"/>
      <c r="B2" s="169"/>
      <c r="C2" s="654" t="s">
        <v>538</v>
      </c>
      <c r="D2" s="634"/>
      <c r="E2" s="753" t="s">
        <v>539</v>
      </c>
      <c r="F2" s="1462">
        <f>+断面算定!H5</f>
        <v>0</v>
      </c>
      <c r="G2" s="1463"/>
      <c r="H2" s="1464"/>
      <c r="I2" s="634"/>
      <c r="J2" s="634"/>
      <c r="K2" s="635"/>
      <c r="L2" s="169"/>
      <c r="M2" s="654" t="s">
        <v>538</v>
      </c>
      <c r="N2" s="634"/>
      <c r="O2" s="753" t="s">
        <v>539</v>
      </c>
      <c r="P2" s="1462">
        <f>+断面算定!J5</f>
        <v>0</v>
      </c>
      <c r="Q2" s="1463"/>
      <c r="R2" s="1464"/>
      <c r="S2" s="634"/>
      <c r="T2" s="634"/>
      <c r="U2" s="635"/>
      <c r="V2" s="169"/>
      <c r="W2" s="654" t="s">
        <v>538</v>
      </c>
      <c r="X2" s="634"/>
      <c r="Y2" s="753" t="s">
        <v>539</v>
      </c>
      <c r="Z2" s="1462">
        <f>+断面算定!L5</f>
        <v>0</v>
      </c>
      <c r="AA2" s="1463"/>
      <c r="AB2" s="1464"/>
      <c r="AC2" s="634"/>
      <c r="AD2" s="634"/>
      <c r="AE2" s="635"/>
      <c r="AF2" s="9"/>
      <c r="AG2" s="9"/>
      <c r="AH2" s="9"/>
      <c r="AI2" s="98"/>
      <c r="AJ2" s="98"/>
      <c r="AK2" s="98"/>
      <c r="AL2" s="98"/>
      <c r="AM2" s="98"/>
      <c r="AN2" s="55"/>
    </row>
    <row r="3" spans="1:40" ht="15" thickBot="1" x14ac:dyDescent="0.2">
      <c r="A3" s="194"/>
      <c r="B3" s="1456" t="s">
        <v>541</v>
      </c>
      <c r="C3" s="1458" t="s">
        <v>15</v>
      </c>
      <c r="D3" s="1192" t="s">
        <v>16</v>
      </c>
      <c r="E3" s="1461" t="s">
        <v>17</v>
      </c>
      <c r="F3" s="1192" t="s">
        <v>19</v>
      </c>
      <c r="G3" s="1192"/>
      <c r="H3" s="1192"/>
      <c r="I3" s="1192"/>
      <c r="J3" s="1197"/>
      <c r="K3" s="1370"/>
      <c r="L3" s="1456" t="s">
        <v>541</v>
      </c>
      <c r="M3" s="1458" t="s">
        <v>15</v>
      </c>
      <c r="N3" s="1192" t="s">
        <v>16</v>
      </c>
      <c r="O3" s="1461" t="s">
        <v>17</v>
      </c>
      <c r="P3" s="1192" t="s">
        <v>19</v>
      </c>
      <c r="Q3" s="1192"/>
      <c r="R3" s="1192"/>
      <c r="S3" s="1192"/>
      <c r="T3" s="1197"/>
      <c r="U3" s="1370"/>
      <c r="V3" s="1456" t="s">
        <v>541</v>
      </c>
      <c r="W3" s="1458" t="s">
        <v>15</v>
      </c>
      <c r="X3" s="1192" t="s">
        <v>16</v>
      </c>
      <c r="Y3" s="1461" t="s">
        <v>17</v>
      </c>
      <c r="Z3" s="1192" t="s">
        <v>19</v>
      </c>
      <c r="AA3" s="1192"/>
      <c r="AB3" s="1192"/>
      <c r="AC3" s="1192"/>
      <c r="AD3" s="1197"/>
      <c r="AE3" s="1370"/>
      <c r="AF3" s="99" t="s">
        <v>538</v>
      </c>
      <c r="AG3" s="23"/>
      <c r="AH3" s="9" t="s">
        <v>542</v>
      </c>
      <c r="AI3" s="9" t="s">
        <v>543</v>
      </c>
      <c r="AJ3" s="23"/>
      <c r="AK3" s="23"/>
      <c r="AL3" s="23"/>
      <c r="AM3" s="23"/>
      <c r="AN3" s="23"/>
    </row>
    <row r="4" spans="1:40" ht="15" thickBot="1" x14ac:dyDescent="0.2">
      <c r="A4" s="194"/>
      <c r="B4" s="1457"/>
      <c r="C4" s="1459"/>
      <c r="D4" s="1374"/>
      <c r="E4" s="1374"/>
      <c r="F4" s="737" t="s">
        <v>544</v>
      </c>
      <c r="G4" s="737" t="s">
        <v>545</v>
      </c>
      <c r="H4" s="737" t="s">
        <v>546</v>
      </c>
      <c r="I4" s="737" t="s">
        <v>547</v>
      </c>
      <c r="J4" s="737" t="s">
        <v>548</v>
      </c>
      <c r="K4" s="739" t="s">
        <v>549</v>
      </c>
      <c r="L4" s="1457"/>
      <c r="M4" s="1459"/>
      <c r="N4" s="1374"/>
      <c r="O4" s="1374"/>
      <c r="P4" s="737" t="s">
        <v>544</v>
      </c>
      <c r="Q4" s="737" t="s">
        <v>545</v>
      </c>
      <c r="R4" s="737" t="s">
        <v>546</v>
      </c>
      <c r="S4" s="737" t="s">
        <v>547</v>
      </c>
      <c r="T4" s="737" t="s">
        <v>548</v>
      </c>
      <c r="U4" s="739" t="s">
        <v>18</v>
      </c>
      <c r="V4" s="1457"/>
      <c r="W4" s="1459"/>
      <c r="X4" s="1374"/>
      <c r="Y4" s="1374"/>
      <c r="Z4" s="737" t="s">
        <v>544</v>
      </c>
      <c r="AA4" s="737" t="s">
        <v>545</v>
      </c>
      <c r="AB4" s="737" t="s">
        <v>546</v>
      </c>
      <c r="AC4" s="737" t="s">
        <v>547</v>
      </c>
      <c r="AD4" s="737" t="s">
        <v>548</v>
      </c>
      <c r="AE4" s="739" t="s">
        <v>18</v>
      </c>
      <c r="AF4" s="1442" t="s">
        <v>15</v>
      </c>
      <c r="AG4" s="1437" t="s">
        <v>16</v>
      </c>
      <c r="AH4" s="1446" t="s">
        <v>17</v>
      </c>
      <c r="AI4" s="1437" t="s">
        <v>19</v>
      </c>
      <c r="AJ4" s="1437"/>
      <c r="AK4" s="1437"/>
      <c r="AL4" s="1437"/>
      <c r="AM4" s="1438"/>
      <c r="AN4" s="1439"/>
    </row>
    <row r="5" spans="1:40" ht="15" thickBot="1" x14ac:dyDescent="0.2">
      <c r="A5" s="194"/>
      <c r="B5" s="1457"/>
      <c r="C5" s="728"/>
      <c r="D5" s="1460"/>
      <c r="E5" s="1460"/>
      <c r="F5" s="459" t="s">
        <v>1</v>
      </c>
      <c r="G5" s="459" t="s">
        <v>3</v>
      </c>
      <c r="H5" s="459" t="s">
        <v>2</v>
      </c>
      <c r="I5" s="459" t="s">
        <v>4</v>
      </c>
      <c r="J5" s="754" t="s">
        <v>244</v>
      </c>
      <c r="K5" s="755" t="s">
        <v>20</v>
      </c>
      <c r="L5" s="1457"/>
      <c r="M5" s="728"/>
      <c r="N5" s="1460"/>
      <c r="O5" s="1460"/>
      <c r="P5" s="459" t="s">
        <v>1</v>
      </c>
      <c r="Q5" s="459" t="s">
        <v>3</v>
      </c>
      <c r="R5" s="459" t="s">
        <v>2</v>
      </c>
      <c r="S5" s="459" t="s">
        <v>4</v>
      </c>
      <c r="T5" s="754" t="s">
        <v>244</v>
      </c>
      <c r="U5" s="755" t="s">
        <v>20</v>
      </c>
      <c r="V5" s="1457"/>
      <c r="W5" s="728"/>
      <c r="X5" s="1460"/>
      <c r="Y5" s="1460"/>
      <c r="Z5" s="459" t="s">
        <v>1</v>
      </c>
      <c r="AA5" s="459" t="s">
        <v>3</v>
      </c>
      <c r="AB5" s="459" t="s">
        <v>2</v>
      </c>
      <c r="AC5" s="459" t="s">
        <v>4</v>
      </c>
      <c r="AD5" s="754" t="s">
        <v>244</v>
      </c>
      <c r="AE5" s="755" t="s">
        <v>20</v>
      </c>
      <c r="AF5" s="1443"/>
      <c r="AG5" s="1444"/>
      <c r="AH5" s="1444"/>
      <c r="AI5" s="733" t="s">
        <v>550</v>
      </c>
      <c r="AJ5" s="733" t="s">
        <v>551</v>
      </c>
      <c r="AK5" s="733" t="s">
        <v>552</v>
      </c>
      <c r="AL5" s="733" t="s">
        <v>553</v>
      </c>
      <c r="AM5" s="733" t="s">
        <v>554</v>
      </c>
      <c r="AN5" s="100" t="s">
        <v>555</v>
      </c>
    </row>
    <row r="6" spans="1:40" ht="15" thickBot="1" x14ac:dyDescent="0.2">
      <c r="A6" s="194"/>
      <c r="B6" s="756">
        <v>1</v>
      </c>
      <c r="C6" s="757" t="s">
        <v>23</v>
      </c>
      <c r="D6" s="757">
        <f>IF(F2=0,0,VLOOKUP(C309,C785:E797,2))</f>
        <v>0</v>
      </c>
      <c r="E6" s="758">
        <f>IF(F2=0,0,VLOOKUP(C309,C785:E797,3))</f>
        <v>0</v>
      </c>
      <c r="F6" s="759">
        <f>F258</f>
        <v>0</v>
      </c>
      <c r="G6" s="759">
        <f t="shared" ref="G6:K6" si="0">G258</f>
        <v>0</v>
      </c>
      <c r="H6" s="759">
        <f t="shared" si="0"/>
        <v>0</v>
      </c>
      <c r="I6" s="759">
        <f t="shared" si="0"/>
        <v>0</v>
      </c>
      <c r="J6" s="759">
        <f t="shared" si="0"/>
        <v>0</v>
      </c>
      <c r="K6" s="760">
        <f t="shared" si="0"/>
        <v>0</v>
      </c>
      <c r="L6" s="756">
        <v>1</v>
      </c>
      <c r="M6" s="757" t="s">
        <v>23</v>
      </c>
      <c r="N6" s="757">
        <f>IF(P2=0,0,VLOOKUP(D309,C785:E797,2))</f>
        <v>0</v>
      </c>
      <c r="O6" s="758">
        <f>IF(P2=0,0,VLOOKUP(D309,C785:E797,3))</f>
        <v>0</v>
      </c>
      <c r="P6" s="759">
        <f>P258</f>
        <v>0</v>
      </c>
      <c r="Q6" s="759">
        <f t="shared" ref="Q6:U6" si="1">Q258</f>
        <v>0</v>
      </c>
      <c r="R6" s="759">
        <f t="shared" si="1"/>
        <v>0</v>
      </c>
      <c r="S6" s="759">
        <f t="shared" si="1"/>
        <v>0</v>
      </c>
      <c r="T6" s="759">
        <f t="shared" si="1"/>
        <v>0</v>
      </c>
      <c r="U6" s="760">
        <f t="shared" si="1"/>
        <v>0</v>
      </c>
      <c r="V6" s="756">
        <v>1</v>
      </c>
      <c r="W6" s="757" t="s">
        <v>23</v>
      </c>
      <c r="X6" s="757">
        <f>IF(Z2=0,0,VLOOKUP(E309,C785:D797,2))</f>
        <v>0</v>
      </c>
      <c r="Y6" s="758">
        <f>IF(Z2=0,0,VLOOKUP(E309,C785:E797,3))</f>
        <v>0</v>
      </c>
      <c r="Z6" s="759">
        <f t="shared" ref="Z6:AE6" si="2">Z258</f>
        <v>0</v>
      </c>
      <c r="AA6" s="759">
        <f t="shared" si="2"/>
        <v>0</v>
      </c>
      <c r="AB6" s="759">
        <f t="shared" si="2"/>
        <v>0</v>
      </c>
      <c r="AC6" s="759">
        <f t="shared" si="2"/>
        <v>0</v>
      </c>
      <c r="AD6" s="759">
        <f t="shared" si="2"/>
        <v>0</v>
      </c>
      <c r="AE6" s="761">
        <f t="shared" si="2"/>
        <v>0</v>
      </c>
      <c r="AF6" s="101"/>
      <c r="AG6" s="1447"/>
      <c r="AH6" s="1447"/>
      <c r="AI6" s="734" t="s">
        <v>1</v>
      </c>
      <c r="AJ6" s="734" t="s">
        <v>3</v>
      </c>
      <c r="AK6" s="734" t="s">
        <v>2</v>
      </c>
      <c r="AL6" s="734" t="s">
        <v>4</v>
      </c>
      <c r="AM6" s="734" t="s">
        <v>244</v>
      </c>
      <c r="AN6" s="102" t="s">
        <v>20</v>
      </c>
    </row>
    <row r="7" spans="1:40" x14ac:dyDescent="0.15">
      <c r="A7" s="194"/>
      <c r="B7" s="762">
        <v>2</v>
      </c>
      <c r="C7" s="256" t="s">
        <v>24</v>
      </c>
      <c r="D7" s="256">
        <f>IF(F7=0,0,+$D$6)</f>
        <v>0</v>
      </c>
      <c r="E7" s="489">
        <f>IF(F7=0,0,+$E$6)</f>
        <v>0</v>
      </c>
      <c r="F7" s="759">
        <f t="shared" ref="F7:F22" si="3">F259</f>
        <v>0</v>
      </c>
      <c r="G7" s="759">
        <f t="shared" ref="G7:K7" si="4">G259</f>
        <v>0</v>
      </c>
      <c r="H7" s="759">
        <f t="shared" si="4"/>
        <v>0</v>
      </c>
      <c r="I7" s="759">
        <f t="shared" si="4"/>
        <v>0</v>
      </c>
      <c r="J7" s="759">
        <f t="shared" si="4"/>
        <v>0</v>
      </c>
      <c r="K7" s="760">
        <f t="shared" si="4"/>
        <v>0</v>
      </c>
      <c r="L7" s="762">
        <v>2</v>
      </c>
      <c r="M7" s="256" t="s">
        <v>24</v>
      </c>
      <c r="N7" s="256">
        <f>IF(P6=0,0,+$N$6)</f>
        <v>0</v>
      </c>
      <c r="O7" s="489">
        <f>IF(P7=0,0,+$O$6)</f>
        <v>0</v>
      </c>
      <c r="P7" s="759">
        <f t="shared" ref="P7:U7" si="5">P259</f>
        <v>0</v>
      </c>
      <c r="Q7" s="759">
        <f t="shared" si="5"/>
        <v>0</v>
      </c>
      <c r="R7" s="759">
        <f t="shared" si="5"/>
        <v>0</v>
      </c>
      <c r="S7" s="759">
        <f t="shared" si="5"/>
        <v>0</v>
      </c>
      <c r="T7" s="759">
        <f t="shared" si="5"/>
        <v>0</v>
      </c>
      <c r="U7" s="760">
        <f t="shared" si="5"/>
        <v>0</v>
      </c>
      <c r="V7" s="762">
        <v>2</v>
      </c>
      <c r="W7" s="256" t="s">
        <v>24</v>
      </c>
      <c r="X7" s="256">
        <f>IF(Z7=0,0,+$X$6)</f>
        <v>0</v>
      </c>
      <c r="Y7" s="489">
        <f>IF(Z7=0,0,+$Y$6)</f>
        <v>0</v>
      </c>
      <c r="Z7" s="759">
        <f t="shared" ref="Z7:AE7" si="6">Z259</f>
        <v>0</v>
      </c>
      <c r="AA7" s="759">
        <f t="shared" si="6"/>
        <v>0</v>
      </c>
      <c r="AB7" s="759">
        <f t="shared" si="6"/>
        <v>0</v>
      </c>
      <c r="AC7" s="759">
        <f t="shared" si="6"/>
        <v>0</v>
      </c>
      <c r="AD7" s="759">
        <f t="shared" si="6"/>
        <v>0</v>
      </c>
      <c r="AE7" s="761">
        <f t="shared" si="6"/>
        <v>0</v>
      </c>
      <c r="AF7" s="103" t="s">
        <v>23</v>
      </c>
      <c r="AG7" s="4" t="s">
        <v>542</v>
      </c>
      <c r="AH7" s="4" t="s">
        <v>543</v>
      </c>
      <c r="AI7" s="104">
        <v>21.6</v>
      </c>
      <c r="AJ7" s="104">
        <v>16.2</v>
      </c>
      <c r="AK7" s="104">
        <v>27</v>
      </c>
      <c r="AL7" s="104">
        <v>1.8</v>
      </c>
      <c r="AM7" s="104">
        <v>6</v>
      </c>
      <c r="AN7" s="105">
        <v>6860</v>
      </c>
    </row>
    <row r="8" spans="1:40" x14ac:dyDescent="0.15">
      <c r="A8" s="194"/>
      <c r="B8" s="762">
        <v>3</v>
      </c>
      <c r="C8" s="256" t="s">
        <v>25</v>
      </c>
      <c r="D8" s="256">
        <f t="shared" ref="D8:D22" si="7">IF(F8=0,0,+$D$6)</f>
        <v>0</v>
      </c>
      <c r="E8" s="489">
        <f t="shared" ref="E8:E22" si="8">IF(F8=0,0,+$E$6)</f>
        <v>0</v>
      </c>
      <c r="F8" s="759">
        <f t="shared" si="3"/>
        <v>0</v>
      </c>
      <c r="G8" s="759">
        <f t="shared" ref="G8:K8" si="9">G260</f>
        <v>0</v>
      </c>
      <c r="H8" s="759">
        <f t="shared" si="9"/>
        <v>0</v>
      </c>
      <c r="I8" s="759">
        <f t="shared" si="9"/>
        <v>0</v>
      </c>
      <c r="J8" s="759">
        <f t="shared" si="9"/>
        <v>0</v>
      </c>
      <c r="K8" s="760">
        <f t="shared" si="9"/>
        <v>0</v>
      </c>
      <c r="L8" s="762">
        <v>3</v>
      </c>
      <c r="M8" s="256" t="s">
        <v>25</v>
      </c>
      <c r="N8" s="256">
        <f t="shared" ref="N8:N22" si="10">IF(P7=0,0,+$N$6)</f>
        <v>0</v>
      </c>
      <c r="O8" s="489">
        <f t="shared" ref="O8:O22" si="11">IF(P8=0,0,+$O$6)</f>
        <v>0</v>
      </c>
      <c r="P8" s="759">
        <f t="shared" ref="P8:U8" si="12">P260</f>
        <v>0</v>
      </c>
      <c r="Q8" s="759">
        <f t="shared" si="12"/>
        <v>0</v>
      </c>
      <c r="R8" s="759">
        <f t="shared" si="12"/>
        <v>0</v>
      </c>
      <c r="S8" s="759">
        <f t="shared" si="12"/>
        <v>0</v>
      </c>
      <c r="T8" s="759">
        <f t="shared" si="12"/>
        <v>0</v>
      </c>
      <c r="U8" s="760">
        <f t="shared" si="12"/>
        <v>0</v>
      </c>
      <c r="V8" s="762">
        <v>3</v>
      </c>
      <c r="W8" s="256" t="s">
        <v>25</v>
      </c>
      <c r="X8" s="256">
        <f t="shared" ref="X8:X22" si="13">IF(Z8=0,0,+$X$6)</f>
        <v>0</v>
      </c>
      <c r="Y8" s="489">
        <f t="shared" ref="Y8:Y22" si="14">IF(Z8=0,0,+$Y$6)</f>
        <v>0</v>
      </c>
      <c r="Z8" s="759">
        <f t="shared" ref="Z8:AE8" si="15">Z260</f>
        <v>0</v>
      </c>
      <c r="AA8" s="759">
        <f t="shared" si="15"/>
        <v>0</v>
      </c>
      <c r="AB8" s="759">
        <f t="shared" si="15"/>
        <v>0</v>
      </c>
      <c r="AC8" s="759">
        <f t="shared" si="15"/>
        <v>0</v>
      </c>
      <c r="AD8" s="759">
        <f t="shared" si="15"/>
        <v>0</v>
      </c>
      <c r="AE8" s="761">
        <f t="shared" si="15"/>
        <v>0</v>
      </c>
      <c r="AF8" s="106" t="s">
        <v>24</v>
      </c>
      <c r="AG8" s="4" t="s">
        <v>542</v>
      </c>
      <c r="AH8" s="4" t="s">
        <v>543</v>
      </c>
      <c r="AI8" s="107">
        <v>30.6</v>
      </c>
      <c r="AJ8" s="107">
        <v>22.8</v>
      </c>
      <c r="AK8" s="107">
        <v>38.4</v>
      </c>
      <c r="AL8" s="107">
        <v>2.1</v>
      </c>
      <c r="AM8" s="107">
        <v>7.8</v>
      </c>
      <c r="AN8" s="108">
        <v>8820</v>
      </c>
    </row>
    <row r="9" spans="1:40" x14ac:dyDescent="0.15">
      <c r="A9" s="194"/>
      <c r="B9" s="762">
        <v>4</v>
      </c>
      <c r="C9" s="256" t="s">
        <v>26</v>
      </c>
      <c r="D9" s="256">
        <f t="shared" si="7"/>
        <v>0</v>
      </c>
      <c r="E9" s="489">
        <f t="shared" si="8"/>
        <v>0</v>
      </c>
      <c r="F9" s="759">
        <f t="shared" si="3"/>
        <v>0</v>
      </c>
      <c r="G9" s="759">
        <f t="shared" ref="G9:K9" si="16">G261</f>
        <v>0</v>
      </c>
      <c r="H9" s="759">
        <f t="shared" si="16"/>
        <v>0</v>
      </c>
      <c r="I9" s="759">
        <f t="shared" si="16"/>
        <v>0</v>
      </c>
      <c r="J9" s="759">
        <f t="shared" si="16"/>
        <v>0</v>
      </c>
      <c r="K9" s="760">
        <f t="shared" si="16"/>
        <v>0</v>
      </c>
      <c r="L9" s="762">
        <v>4</v>
      </c>
      <c r="M9" s="256" t="s">
        <v>26</v>
      </c>
      <c r="N9" s="256">
        <f t="shared" si="10"/>
        <v>0</v>
      </c>
      <c r="O9" s="489">
        <f t="shared" si="11"/>
        <v>0</v>
      </c>
      <c r="P9" s="759">
        <f t="shared" ref="P9:U9" si="17">P261</f>
        <v>0</v>
      </c>
      <c r="Q9" s="759">
        <f t="shared" si="17"/>
        <v>0</v>
      </c>
      <c r="R9" s="759">
        <f t="shared" si="17"/>
        <v>0</v>
      </c>
      <c r="S9" s="759">
        <f t="shared" si="17"/>
        <v>0</v>
      </c>
      <c r="T9" s="759">
        <f t="shared" si="17"/>
        <v>0</v>
      </c>
      <c r="U9" s="760">
        <f t="shared" si="17"/>
        <v>0</v>
      </c>
      <c r="V9" s="762">
        <v>4</v>
      </c>
      <c r="W9" s="256" t="s">
        <v>26</v>
      </c>
      <c r="X9" s="256">
        <f t="shared" si="13"/>
        <v>0</v>
      </c>
      <c r="Y9" s="489">
        <f t="shared" si="14"/>
        <v>0</v>
      </c>
      <c r="Z9" s="759">
        <f t="shared" ref="Z9:AE9" si="18">Z261</f>
        <v>0</v>
      </c>
      <c r="AA9" s="759">
        <f t="shared" si="18"/>
        <v>0</v>
      </c>
      <c r="AB9" s="759">
        <f t="shared" si="18"/>
        <v>0</v>
      </c>
      <c r="AC9" s="759">
        <f t="shared" si="18"/>
        <v>0</v>
      </c>
      <c r="AD9" s="759">
        <f t="shared" si="18"/>
        <v>0</v>
      </c>
      <c r="AE9" s="761">
        <f t="shared" si="18"/>
        <v>0</v>
      </c>
      <c r="AF9" s="106" t="s">
        <v>25</v>
      </c>
      <c r="AG9" s="4" t="s">
        <v>542</v>
      </c>
      <c r="AH9" s="4" t="s">
        <v>543</v>
      </c>
      <c r="AI9" s="107">
        <v>27</v>
      </c>
      <c r="AJ9" s="107">
        <v>20.399999999999999</v>
      </c>
      <c r="AK9" s="107">
        <v>34.200000000000003</v>
      </c>
      <c r="AL9" s="107">
        <v>2.4</v>
      </c>
      <c r="AM9" s="107">
        <v>9</v>
      </c>
      <c r="AN9" s="108">
        <v>9800</v>
      </c>
    </row>
    <row r="10" spans="1:40" x14ac:dyDescent="0.15">
      <c r="A10" s="194"/>
      <c r="B10" s="762">
        <v>5</v>
      </c>
      <c r="C10" s="256" t="s">
        <v>27</v>
      </c>
      <c r="D10" s="256">
        <f t="shared" si="7"/>
        <v>0</v>
      </c>
      <c r="E10" s="489">
        <f t="shared" si="8"/>
        <v>0</v>
      </c>
      <c r="F10" s="759">
        <f t="shared" si="3"/>
        <v>0</v>
      </c>
      <c r="G10" s="759">
        <f t="shared" ref="G10:K10" si="19">G262</f>
        <v>0</v>
      </c>
      <c r="H10" s="759">
        <f t="shared" si="19"/>
        <v>0</v>
      </c>
      <c r="I10" s="759">
        <f t="shared" si="19"/>
        <v>0</v>
      </c>
      <c r="J10" s="759">
        <f t="shared" si="19"/>
        <v>0</v>
      </c>
      <c r="K10" s="760">
        <f t="shared" si="19"/>
        <v>0</v>
      </c>
      <c r="L10" s="762">
        <v>5</v>
      </c>
      <c r="M10" s="256" t="s">
        <v>27</v>
      </c>
      <c r="N10" s="256">
        <f t="shared" si="10"/>
        <v>0</v>
      </c>
      <c r="O10" s="489">
        <f t="shared" si="11"/>
        <v>0</v>
      </c>
      <c r="P10" s="759">
        <f t="shared" ref="P10:U10" si="20">P262</f>
        <v>0</v>
      </c>
      <c r="Q10" s="759">
        <f t="shared" si="20"/>
        <v>0</v>
      </c>
      <c r="R10" s="759">
        <f t="shared" si="20"/>
        <v>0</v>
      </c>
      <c r="S10" s="759">
        <f t="shared" si="20"/>
        <v>0</v>
      </c>
      <c r="T10" s="759">
        <f t="shared" si="20"/>
        <v>0</v>
      </c>
      <c r="U10" s="760">
        <f t="shared" si="20"/>
        <v>0</v>
      </c>
      <c r="V10" s="762">
        <v>5</v>
      </c>
      <c r="W10" s="256" t="s">
        <v>27</v>
      </c>
      <c r="X10" s="256">
        <f t="shared" si="13"/>
        <v>0</v>
      </c>
      <c r="Y10" s="489">
        <f t="shared" si="14"/>
        <v>0</v>
      </c>
      <c r="Z10" s="759">
        <f t="shared" ref="Z10:AE10" si="21">Z262</f>
        <v>0</v>
      </c>
      <c r="AA10" s="759">
        <f t="shared" si="21"/>
        <v>0</v>
      </c>
      <c r="AB10" s="759">
        <f t="shared" si="21"/>
        <v>0</v>
      </c>
      <c r="AC10" s="759">
        <f t="shared" si="21"/>
        <v>0</v>
      </c>
      <c r="AD10" s="759">
        <f t="shared" si="21"/>
        <v>0</v>
      </c>
      <c r="AE10" s="761">
        <f t="shared" si="21"/>
        <v>0</v>
      </c>
      <c r="AF10" s="106" t="s">
        <v>26</v>
      </c>
      <c r="AG10" s="4" t="s">
        <v>542</v>
      </c>
      <c r="AH10" s="4" t="s">
        <v>543</v>
      </c>
      <c r="AI10" s="107">
        <v>27</v>
      </c>
      <c r="AJ10" s="107">
        <v>20.399999999999999</v>
      </c>
      <c r="AK10" s="107">
        <v>33.6</v>
      </c>
      <c r="AL10" s="107">
        <v>2.4</v>
      </c>
      <c r="AM10" s="107">
        <v>9</v>
      </c>
      <c r="AN10" s="108">
        <v>7840</v>
      </c>
    </row>
    <row r="11" spans="1:40" x14ac:dyDescent="0.15">
      <c r="A11" s="194"/>
      <c r="B11" s="762">
        <v>6</v>
      </c>
      <c r="C11" s="256" t="s">
        <v>28</v>
      </c>
      <c r="D11" s="256">
        <f t="shared" si="7"/>
        <v>0</v>
      </c>
      <c r="E11" s="489">
        <f t="shared" si="8"/>
        <v>0</v>
      </c>
      <c r="F11" s="759">
        <f t="shared" si="3"/>
        <v>0</v>
      </c>
      <c r="G11" s="759">
        <f t="shared" ref="G11:K11" si="22">G263</f>
        <v>0</v>
      </c>
      <c r="H11" s="759">
        <f t="shared" si="22"/>
        <v>0</v>
      </c>
      <c r="I11" s="759">
        <f t="shared" si="22"/>
        <v>0</v>
      </c>
      <c r="J11" s="759">
        <f t="shared" si="22"/>
        <v>0</v>
      </c>
      <c r="K11" s="760">
        <f t="shared" si="22"/>
        <v>0</v>
      </c>
      <c r="L11" s="762">
        <v>6</v>
      </c>
      <c r="M11" s="256" t="s">
        <v>28</v>
      </c>
      <c r="N11" s="256">
        <f t="shared" si="10"/>
        <v>0</v>
      </c>
      <c r="O11" s="489">
        <f t="shared" si="11"/>
        <v>0</v>
      </c>
      <c r="P11" s="759">
        <f t="shared" ref="P11:U11" si="23">P263</f>
        <v>0</v>
      </c>
      <c r="Q11" s="759">
        <f t="shared" si="23"/>
        <v>0</v>
      </c>
      <c r="R11" s="759">
        <f t="shared" si="23"/>
        <v>0</v>
      </c>
      <c r="S11" s="759">
        <f t="shared" si="23"/>
        <v>0</v>
      </c>
      <c r="T11" s="759">
        <f t="shared" si="23"/>
        <v>0</v>
      </c>
      <c r="U11" s="760">
        <f t="shared" si="23"/>
        <v>0</v>
      </c>
      <c r="V11" s="762">
        <v>6</v>
      </c>
      <c r="W11" s="256" t="s">
        <v>28</v>
      </c>
      <c r="X11" s="256">
        <f t="shared" si="13"/>
        <v>0</v>
      </c>
      <c r="Y11" s="489">
        <f t="shared" si="14"/>
        <v>0</v>
      </c>
      <c r="Z11" s="759">
        <f t="shared" ref="Z11:AE11" si="24">Z263</f>
        <v>0</v>
      </c>
      <c r="AA11" s="759">
        <f t="shared" si="24"/>
        <v>0</v>
      </c>
      <c r="AB11" s="759">
        <f t="shared" si="24"/>
        <v>0</v>
      </c>
      <c r="AC11" s="759">
        <f t="shared" si="24"/>
        <v>0</v>
      </c>
      <c r="AD11" s="759">
        <f t="shared" si="24"/>
        <v>0</v>
      </c>
      <c r="AE11" s="761">
        <f t="shared" si="24"/>
        <v>0</v>
      </c>
      <c r="AF11" s="106" t="s">
        <v>27</v>
      </c>
      <c r="AG11" s="4" t="s">
        <v>542</v>
      </c>
      <c r="AH11" s="4" t="s">
        <v>543</v>
      </c>
      <c r="AI11" s="107">
        <v>27</v>
      </c>
      <c r="AJ11" s="107">
        <v>20.399999999999999</v>
      </c>
      <c r="AK11" s="107">
        <v>33.6</v>
      </c>
      <c r="AL11" s="107">
        <v>2.4</v>
      </c>
      <c r="AM11" s="107">
        <v>9</v>
      </c>
      <c r="AN11" s="108">
        <v>7840</v>
      </c>
    </row>
    <row r="12" spans="1:40" x14ac:dyDescent="0.15">
      <c r="A12" s="194"/>
      <c r="B12" s="762">
        <v>7</v>
      </c>
      <c r="C12" s="256" t="s">
        <v>556</v>
      </c>
      <c r="D12" s="256">
        <f t="shared" si="7"/>
        <v>0</v>
      </c>
      <c r="E12" s="489">
        <f t="shared" si="8"/>
        <v>0</v>
      </c>
      <c r="F12" s="759">
        <f t="shared" si="3"/>
        <v>0</v>
      </c>
      <c r="G12" s="759">
        <f t="shared" ref="G12:K12" si="25">G264</f>
        <v>0</v>
      </c>
      <c r="H12" s="759">
        <f t="shared" si="25"/>
        <v>0</v>
      </c>
      <c r="I12" s="759">
        <f t="shared" si="25"/>
        <v>0</v>
      </c>
      <c r="J12" s="759">
        <f t="shared" si="25"/>
        <v>0</v>
      </c>
      <c r="K12" s="760">
        <f t="shared" si="25"/>
        <v>0</v>
      </c>
      <c r="L12" s="762">
        <v>7</v>
      </c>
      <c r="M12" s="256" t="s">
        <v>29</v>
      </c>
      <c r="N12" s="256">
        <f t="shared" si="10"/>
        <v>0</v>
      </c>
      <c r="O12" s="489">
        <f t="shared" si="11"/>
        <v>0</v>
      </c>
      <c r="P12" s="759">
        <f t="shared" ref="P12:U12" si="26">P264</f>
        <v>0</v>
      </c>
      <c r="Q12" s="759">
        <f t="shared" si="26"/>
        <v>0</v>
      </c>
      <c r="R12" s="759">
        <f t="shared" si="26"/>
        <v>0</v>
      </c>
      <c r="S12" s="759">
        <f t="shared" si="26"/>
        <v>0</v>
      </c>
      <c r="T12" s="759">
        <f t="shared" si="26"/>
        <v>0</v>
      </c>
      <c r="U12" s="760">
        <f t="shared" si="26"/>
        <v>0</v>
      </c>
      <c r="V12" s="762">
        <v>7</v>
      </c>
      <c r="W12" s="256" t="s">
        <v>29</v>
      </c>
      <c r="X12" s="256">
        <f t="shared" si="13"/>
        <v>0</v>
      </c>
      <c r="Y12" s="489">
        <f t="shared" si="14"/>
        <v>0</v>
      </c>
      <c r="Z12" s="759">
        <f t="shared" ref="Z12:AE12" si="27">Z264</f>
        <v>0</v>
      </c>
      <c r="AA12" s="759">
        <f t="shared" si="27"/>
        <v>0</v>
      </c>
      <c r="AB12" s="759">
        <f t="shared" si="27"/>
        <v>0</v>
      </c>
      <c r="AC12" s="759">
        <f t="shared" si="27"/>
        <v>0</v>
      </c>
      <c r="AD12" s="759">
        <f t="shared" si="27"/>
        <v>0</v>
      </c>
      <c r="AE12" s="761">
        <f t="shared" si="27"/>
        <v>0</v>
      </c>
      <c r="AF12" s="106" t="s">
        <v>28</v>
      </c>
      <c r="AG12" s="4" t="s">
        <v>542</v>
      </c>
      <c r="AH12" s="4" t="s">
        <v>543</v>
      </c>
      <c r="AI12" s="107">
        <v>23.4</v>
      </c>
      <c r="AJ12" s="107">
        <v>18</v>
      </c>
      <c r="AK12" s="107">
        <v>29.4</v>
      </c>
      <c r="AL12" s="107">
        <v>2.1</v>
      </c>
      <c r="AM12" s="107">
        <v>7.8</v>
      </c>
      <c r="AN12" s="108">
        <v>7840</v>
      </c>
    </row>
    <row r="13" spans="1:40" x14ac:dyDescent="0.15">
      <c r="A13" s="194"/>
      <c r="B13" s="762">
        <v>8</v>
      </c>
      <c r="C13" s="256" t="s">
        <v>30</v>
      </c>
      <c r="D13" s="256">
        <f t="shared" si="7"/>
        <v>0</v>
      </c>
      <c r="E13" s="489">
        <f t="shared" si="8"/>
        <v>0</v>
      </c>
      <c r="F13" s="759">
        <f t="shared" si="3"/>
        <v>0</v>
      </c>
      <c r="G13" s="759">
        <f t="shared" ref="G13:K13" si="28">G265</f>
        <v>0</v>
      </c>
      <c r="H13" s="759">
        <f t="shared" si="28"/>
        <v>0</v>
      </c>
      <c r="I13" s="759">
        <f t="shared" si="28"/>
        <v>0</v>
      </c>
      <c r="J13" s="759">
        <f t="shared" si="28"/>
        <v>0</v>
      </c>
      <c r="K13" s="760">
        <f t="shared" si="28"/>
        <v>0</v>
      </c>
      <c r="L13" s="762">
        <v>8</v>
      </c>
      <c r="M13" s="256" t="s">
        <v>30</v>
      </c>
      <c r="N13" s="256">
        <f t="shared" si="10"/>
        <v>0</v>
      </c>
      <c r="O13" s="489">
        <f t="shared" si="11"/>
        <v>0</v>
      </c>
      <c r="P13" s="759">
        <f t="shared" ref="P13:U13" si="29">P265</f>
        <v>0</v>
      </c>
      <c r="Q13" s="759">
        <f t="shared" si="29"/>
        <v>0</v>
      </c>
      <c r="R13" s="759">
        <f t="shared" si="29"/>
        <v>0</v>
      </c>
      <c r="S13" s="759">
        <f t="shared" si="29"/>
        <v>0</v>
      </c>
      <c r="T13" s="759">
        <f t="shared" si="29"/>
        <v>0</v>
      </c>
      <c r="U13" s="760">
        <f t="shared" si="29"/>
        <v>0</v>
      </c>
      <c r="V13" s="762">
        <v>8</v>
      </c>
      <c r="W13" s="256" t="s">
        <v>30</v>
      </c>
      <c r="X13" s="256">
        <f t="shared" si="13"/>
        <v>0</v>
      </c>
      <c r="Y13" s="489">
        <f t="shared" si="14"/>
        <v>0</v>
      </c>
      <c r="Z13" s="759">
        <f t="shared" ref="Z13:AE13" si="30">Z265</f>
        <v>0</v>
      </c>
      <c r="AA13" s="759">
        <f t="shared" si="30"/>
        <v>0</v>
      </c>
      <c r="AB13" s="759">
        <f t="shared" si="30"/>
        <v>0</v>
      </c>
      <c r="AC13" s="759">
        <f t="shared" si="30"/>
        <v>0</v>
      </c>
      <c r="AD13" s="759">
        <f t="shared" si="30"/>
        <v>0</v>
      </c>
      <c r="AE13" s="761">
        <f t="shared" si="30"/>
        <v>0</v>
      </c>
      <c r="AF13" s="106" t="s">
        <v>556</v>
      </c>
      <c r="AG13" s="4" t="s">
        <v>542</v>
      </c>
      <c r="AH13" s="4" t="s">
        <v>543</v>
      </c>
      <c r="AI13" s="107">
        <v>28.2</v>
      </c>
      <c r="AJ13" s="107">
        <v>21</v>
      </c>
      <c r="AK13" s="107">
        <v>34.799999999999997</v>
      </c>
      <c r="AL13" s="107">
        <v>2.1</v>
      </c>
      <c r="AM13" s="107">
        <v>7.8</v>
      </c>
      <c r="AN13" s="108">
        <v>8820</v>
      </c>
    </row>
    <row r="14" spans="1:40" x14ac:dyDescent="0.15">
      <c r="A14" s="194"/>
      <c r="B14" s="762">
        <v>9</v>
      </c>
      <c r="C14" s="256" t="s">
        <v>31</v>
      </c>
      <c r="D14" s="256">
        <f t="shared" si="7"/>
        <v>0</v>
      </c>
      <c r="E14" s="489">
        <f t="shared" si="8"/>
        <v>0</v>
      </c>
      <c r="F14" s="759">
        <f t="shared" si="3"/>
        <v>0</v>
      </c>
      <c r="G14" s="759">
        <f t="shared" ref="G14:K14" si="31">G266</f>
        <v>0</v>
      </c>
      <c r="H14" s="759">
        <f t="shared" si="31"/>
        <v>0</v>
      </c>
      <c r="I14" s="759">
        <f t="shared" si="31"/>
        <v>0</v>
      </c>
      <c r="J14" s="759">
        <f t="shared" si="31"/>
        <v>0</v>
      </c>
      <c r="K14" s="760">
        <f t="shared" si="31"/>
        <v>0</v>
      </c>
      <c r="L14" s="762">
        <v>9</v>
      </c>
      <c r="M14" s="256" t="s">
        <v>31</v>
      </c>
      <c r="N14" s="256">
        <f t="shared" si="10"/>
        <v>0</v>
      </c>
      <c r="O14" s="489">
        <f t="shared" si="11"/>
        <v>0</v>
      </c>
      <c r="P14" s="759">
        <f t="shared" ref="P14:U14" si="32">P266</f>
        <v>0</v>
      </c>
      <c r="Q14" s="759">
        <f t="shared" si="32"/>
        <v>0</v>
      </c>
      <c r="R14" s="759">
        <f t="shared" si="32"/>
        <v>0</v>
      </c>
      <c r="S14" s="759">
        <f t="shared" si="32"/>
        <v>0</v>
      </c>
      <c r="T14" s="759">
        <f t="shared" si="32"/>
        <v>0</v>
      </c>
      <c r="U14" s="760">
        <f t="shared" si="32"/>
        <v>0</v>
      </c>
      <c r="V14" s="762">
        <v>9</v>
      </c>
      <c r="W14" s="256" t="s">
        <v>31</v>
      </c>
      <c r="X14" s="256">
        <f t="shared" si="13"/>
        <v>0</v>
      </c>
      <c r="Y14" s="489">
        <f t="shared" si="14"/>
        <v>0</v>
      </c>
      <c r="Z14" s="759">
        <f t="shared" ref="Z14:AE14" si="33">Z266</f>
        <v>0</v>
      </c>
      <c r="AA14" s="759">
        <f t="shared" si="33"/>
        <v>0</v>
      </c>
      <c r="AB14" s="759">
        <f t="shared" si="33"/>
        <v>0</v>
      </c>
      <c r="AC14" s="759">
        <f t="shared" si="33"/>
        <v>0</v>
      </c>
      <c r="AD14" s="759">
        <f t="shared" si="33"/>
        <v>0</v>
      </c>
      <c r="AE14" s="761">
        <f t="shared" si="33"/>
        <v>0</v>
      </c>
      <c r="AF14" s="106" t="s">
        <v>30</v>
      </c>
      <c r="AG14" s="4" t="s">
        <v>542</v>
      </c>
      <c r="AH14" s="4" t="s">
        <v>543</v>
      </c>
      <c r="AI14" s="107">
        <v>21</v>
      </c>
      <c r="AJ14" s="107">
        <v>15.6</v>
      </c>
      <c r="AK14" s="107">
        <v>26.4</v>
      </c>
      <c r="AL14" s="107">
        <v>2.1</v>
      </c>
      <c r="AM14" s="107">
        <v>6</v>
      </c>
      <c r="AN14" s="108">
        <v>7840</v>
      </c>
    </row>
    <row r="15" spans="1:40" x14ac:dyDescent="0.15">
      <c r="A15" s="194"/>
      <c r="B15" s="762">
        <v>10</v>
      </c>
      <c r="C15" s="256" t="s">
        <v>557</v>
      </c>
      <c r="D15" s="256">
        <f t="shared" si="7"/>
        <v>0</v>
      </c>
      <c r="E15" s="489">
        <f t="shared" si="8"/>
        <v>0</v>
      </c>
      <c r="F15" s="759">
        <f t="shared" si="3"/>
        <v>0</v>
      </c>
      <c r="G15" s="759">
        <f t="shared" ref="G15:K15" si="34">G267</f>
        <v>0</v>
      </c>
      <c r="H15" s="759">
        <f t="shared" si="34"/>
        <v>0</v>
      </c>
      <c r="I15" s="759">
        <f t="shared" si="34"/>
        <v>0</v>
      </c>
      <c r="J15" s="759">
        <f t="shared" si="34"/>
        <v>0</v>
      </c>
      <c r="K15" s="760">
        <f t="shared" si="34"/>
        <v>0</v>
      </c>
      <c r="L15" s="762">
        <v>10</v>
      </c>
      <c r="M15" s="256" t="s">
        <v>32</v>
      </c>
      <c r="N15" s="256">
        <f t="shared" si="10"/>
        <v>0</v>
      </c>
      <c r="O15" s="489">
        <f t="shared" si="11"/>
        <v>0</v>
      </c>
      <c r="P15" s="759">
        <f t="shared" ref="P15:U15" si="35">P267</f>
        <v>0</v>
      </c>
      <c r="Q15" s="759">
        <f t="shared" si="35"/>
        <v>0</v>
      </c>
      <c r="R15" s="759">
        <f t="shared" si="35"/>
        <v>0</v>
      </c>
      <c r="S15" s="759">
        <f t="shared" si="35"/>
        <v>0</v>
      </c>
      <c r="T15" s="759">
        <f t="shared" si="35"/>
        <v>0</v>
      </c>
      <c r="U15" s="760">
        <f t="shared" si="35"/>
        <v>0</v>
      </c>
      <c r="V15" s="762">
        <v>10</v>
      </c>
      <c r="W15" s="256" t="s">
        <v>32</v>
      </c>
      <c r="X15" s="256">
        <f t="shared" si="13"/>
        <v>0</v>
      </c>
      <c r="Y15" s="489">
        <f t="shared" si="14"/>
        <v>0</v>
      </c>
      <c r="Z15" s="759">
        <f t="shared" ref="Z15:AE15" si="36">Z267</f>
        <v>0</v>
      </c>
      <c r="AA15" s="759">
        <f t="shared" si="36"/>
        <v>0</v>
      </c>
      <c r="AB15" s="759">
        <f t="shared" si="36"/>
        <v>0</v>
      </c>
      <c r="AC15" s="759">
        <f t="shared" si="36"/>
        <v>0</v>
      </c>
      <c r="AD15" s="759">
        <f t="shared" si="36"/>
        <v>0</v>
      </c>
      <c r="AE15" s="761">
        <f t="shared" si="36"/>
        <v>0</v>
      </c>
      <c r="AF15" s="106" t="s">
        <v>31</v>
      </c>
      <c r="AG15" s="4" t="s">
        <v>542</v>
      </c>
      <c r="AH15" s="4" t="s">
        <v>543</v>
      </c>
      <c r="AI15" s="107">
        <v>21</v>
      </c>
      <c r="AJ15" s="107">
        <v>15.6</v>
      </c>
      <c r="AK15" s="107">
        <v>26.4</v>
      </c>
      <c r="AL15" s="107">
        <v>2.1</v>
      </c>
      <c r="AM15" s="107">
        <v>6</v>
      </c>
      <c r="AN15" s="108">
        <v>7840</v>
      </c>
    </row>
    <row r="16" spans="1:40" x14ac:dyDescent="0.15">
      <c r="A16" s="194"/>
      <c r="B16" s="762">
        <v>11</v>
      </c>
      <c r="C16" s="256" t="s">
        <v>33</v>
      </c>
      <c r="D16" s="256">
        <f t="shared" si="7"/>
        <v>0</v>
      </c>
      <c r="E16" s="489">
        <f t="shared" si="8"/>
        <v>0</v>
      </c>
      <c r="F16" s="759">
        <f t="shared" si="3"/>
        <v>0</v>
      </c>
      <c r="G16" s="759">
        <f t="shared" ref="G16:K16" si="37">G268</f>
        <v>0</v>
      </c>
      <c r="H16" s="759">
        <f t="shared" si="37"/>
        <v>0</v>
      </c>
      <c r="I16" s="759">
        <f t="shared" si="37"/>
        <v>0</v>
      </c>
      <c r="J16" s="759">
        <f t="shared" si="37"/>
        <v>0</v>
      </c>
      <c r="K16" s="760">
        <f t="shared" si="37"/>
        <v>0</v>
      </c>
      <c r="L16" s="762">
        <v>11</v>
      </c>
      <c r="M16" s="256" t="s">
        <v>33</v>
      </c>
      <c r="N16" s="256">
        <f t="shared" si="10"/>
        <v>0</v>
      </c>
      <c r="O16" s="489">
        <f t="shared" si="11"/>
        <v>0</v>
      </c>
      <c r="P16" s="759">
        <f t="shared" ref="P16:U16" si="38">P268</f>
        <v>0</v>
      </c>
      <c r="Q16" s="759">
        <f t="shared" si="38"/>
        <v>0</v>
      </c>
      <c r="R16" s="759">
        <f t="shared" si="38"/>
        <v>0</v>
      </c>
      <c r="S16" s="759">
        <f t="shared" si="38"/>
        <v>0</v>
      </c>
      <c r="T16" s="759">
        <f t="shared" si="38"/>
        <v>0</v>
      </c>
      <c r="U16" s="760">
        <f t="shared" si="38"/>
        <v>0</v>
      </c>
      <c r="V16" s="762">
        <v>11</v>
      </c>
      <c r="W16" s="256" t="s">
        <v>33</v>
      </c>
      <c r="X16" s="256">
        <f t="shared" si="13"/>
        <v>0</v>
      </c>
      <c r="Y16" s="489">
        <f t="shared" si="14"/>
        <v>0</v>
      </c>
      <c r="Z16" s="759">
        <f t="shared" ref="Z16:AE16" si="39">Z268</f>
        <v>0</v>
      </c>
      <c r="AA16" s="759">
        <f t="shared" si="39"/>
        <v>0</v>
      </c>
      <c r="AB16" s="759">
        <f t="shared" si="39"/>
        <v>0</v>
      </c>
      <c r="AC16" s="759">
        <f t="shared" si="39"/>
        <v>0</v>
      </c>
      <c r="AD16" s="759">
        <f t="shared" si="39"/>
        <v>0</v>
      </c>
      <c r="AE16" s="761">
        <f t="shared" si="39"/>
        <v>0</v>
      </c>
      <c r="AF16" s="106" t="s">
        <v>558</v>
      </c>
      <c r="AG16" s="4" t="s">
        <v>542</v>
      </c>
      <c r="AH16" s="4" t="s">
        <v>543</v>
      </c>
      <c r="AI16" s="107">
        <v>27</v>
      </c>
      <c r="AJ16" s="107">
        <v>20.399999999999999</v>
      </c>
      <c r="AK16" s="107">
        <v>34.200000000000003</v>
      </c>
      <c r="AL16" s="107">
        <v>1.8</v>
      </c>
      <c r="AM16" s="107">
        <v>6</v>
      </c>
      <c r="AN16" s="108">
        <v>6860</v>
      </c>
    </row>
    <row r="17" spans="1:40" x14ac:dyDescent="0.15">
      <c r="A17" s="194"/>
      <c r="B17" s="762">
        <v>12</v>
      </c>
      <c r="C17" s="256" t="s">
        <v>34</v>
      </c>
      <c r="D17" s="256">
        <f t="shared" si="7"/>
        <v>0</v>
      </c>
      <c r="E17" s="489">
        <f t="shared" si="8"/>
        <v>0</v>
      </c>
      <c r="F17" s="759">
        <f t="shared" si="3"/>
        <v>0</v>
      </c>
      <c r="G17" s="759">
        <f t="shared" ref="G17:K17" si="40">G269</f>
        <v>0</v>
      </c>
      <c r="H17" s="759">
        <f t="shared" si="40"/>
        <v>0</v>
      </c>
      <c r="I17" s="759">
        <f t="shared" si="40"/>
        <v>0</v>
      </c>
      <c r="J17" s="759">
        <f t="shared" si="40"/>
        <v>0</v>
      </c>
      <c r="K17" s="760">
        <f t="shared" si="40"/>
        <v>0</v>
      </c>
      <c r="L17" s="762">
        <v>12</v>
      </c>
      <c r="M17" s="256" t="s">
        <v>34</v>
      </c>
      <c r="N17" s="256">
        <f t="shared" si="10"/>
        <v>0</v>
      </c>
      <c r="O17" s="489">
        <f t="shared" si="11"/>
        <v>0</v>
      </c>
      <c r="P17" s="759">
        <f t="shared" ref="P17:U17" si="41">P269</f>
        <v>0</v>
      </c>
      <c r="Q17" s="759">
        <f t="shared" si="41"/>
        <v>0</v>
      </c>
      <c r="R17" s="759">
        <f t="shared" si="41"/>
        <v>0</v>
      </c>
      <c r="S17" s="759">
        <f t="shared" si="41"/>
        <v>0</v>
      </c>
      <c r="T17" s="759">
        <f t="shared" si="41"/>
        <v>0</v>
      </c>
      <c r="U17" s="760">
        <f t="shared" si="41"/>
        <v>0</v>
      </c>
      <c r="V17" s="762">
        <v>12</v>
      </c>
      <c r="W17" s="256" t="s">
        <v>34</v>
      </c>
      <c r="X17" s="256">
        <f t="shared" si="13"/>
        <v>0</v>
      </c>
      <c r="Y17" s="489">
        <f t="shared" si="14"/>
        <v>0</v>
      </c>
      <c r="Z17" s="759">
        <f t="shared" ref="Z17:AE17" si="42">Z269</f>
        <v>0</v>
      </c>
      <c r="AA17" s="759">
        <f t="shared" si="42"/>
        <v>0</v>
      </c>
      <c r="AB17" s="759">
        <f t="shared" si="42"/>
        <v>0</v>
      </c>
      <c r="AC17" s="759">
        <f t="shared" si="42"/>
        <v>0</v>
      </c>
      <c r="AD17" s="759">
        <f t="shared" si="42"/>
        <v>0</v>
      </c>
      <c r="AE17" s="761">
        <f t="shared" si="42"/>
        <v>0</v>
      </c>
      <c r="AF17" s="106" t="s">
        <v>33</v>
      </c>
      <c r="AG17" s="4" t="s">
        <v>542</v>
      </c>
      <c r="AH17" s="4" t="s">
        <v>543</v>
      </c>
      <c r="AI17" s="107">
        <v>27</v>
      </c>
      <c r="AJ17" s="107">
        <v>20.399999999999999</v>
      </c>
      <c r="AK17" s="107">
        <v>34.200000000000003</v>
      </c>
      <c r="AL17" s="107">
        <v>1.8</v>
      </c>
      <c r="AM17" s="107">
        <v>6</v>
      </c>
      <c r="AN17" s="108">
        <v>6860</v>
      </c>
    </row>
    <row r="18" spans="1:40" x14ac:dyDescent="0.15">
      <c r="A18" s="194"/>
      <c r="B18" s="762">
        <v>13</v>
      </c>
      <c r="C18" s="256" t="s">
        <v>35</v>
      </c>
      <c r="D18" s="256">
        <f t="shared" si="7"/>
        <v>0</v>
      </c>
      <c r="E18" s="489">
        <f t="shared" si="8"/>
        <v>0</v>
      </c>
      <c r="F18" s="759">
        <f t="shared" si="3"/>
        <v>0</v>
      </c>
      <c r="G18" s="759">
        <f t="shared" ref="G18:K18" si="43">G270</f>
        <v>0</v>
      </c>
      <c r="H18" s="759">
        <f t="shared" si="43"/>
        <v>0</v>
      </c>
      <c r="I18" s="759">
        <f t="shared" si="43"/>
        <v>0</v>
      </c>
      <c r="J18" s="759">
        <f t="shared" si="43"/>
        <v>0</v>
      </c>
      <c r="K18" s="760">
        <f t="shared" si="43"/>
        <v>0</v>
      </c>
      <c r="L18" s="762">
        <v>13</v>
      </c>
      <c r="M18" s="256" t="s">
        <v>35</v>
      </c>
      <c r="N18" s="256">
        <f t="shared" si="10"/>
        <v>0</v>
      </c>
      <c r="O18" s="489">
        <f t="shared" si="11"/>
        <v>0</v>
      </c>
      <c r="P18" s="759">
        <f t="shared" ref="P18:U18" si="44">P270</f>
        <v>0</v>
      </c>
      <c r="Q18" s="759">
        <f t="shared" si="44"/>
        <v>0</v>
      </c>
      <c r="R18" s="759">
        <f t="shared" si="44"/>
        <v>0</v>
      </c>
      <c r="S18" s="759">
        <f t="shared" si="44"/>
        <v>0</v>
      </c>
      <c r="T18" s="759">
        <f t="shared" si="44"/>
        <v>0</v>
      </c>
      <c r="U18" s="760">
        <f t="shared" si="44"/>
        <v>0</v>
      </c>
      <c r="V18" s="762">
        <v>13</v>
      </c>
      <c r="W18" s="256" t="s">
        <v>35</v>
      </c>
      <c r="X18" s="256">
        <f t="shared" si="13"/>
        <v>0</v>
      </c>
      <c r="Y18" s="489">
        <f t="shared" si="14"/>
        <v>0</v>
      </c>
      <c r="Z18" s="759">
        <f t="shared" ref="Z18:AE18" si="45">Z270</f>
        <v>0</v>
      </c>
      <c r="AA18" s="759">
        <f t="shared" si="45"/>
        <v>0</v>
      </c>
      <c r="AB18" s="759">
        <f t="shared" si="45"/>
        <v>0</v>
      </c>
      <c r="AC18" s="759">
        <f t="shared" si="45"/>
        <v>0</v>
      </c>
      <c r="AD18" s="759">
        <f t="shared" si="45"/>
        <v>0</v>
      </c>
      <c r="AE18" s="761">
        <f t="shared" si="45"/>
        <v>0</v>
      </c>
      <c r="AF18" s="106" t="s">
        <v>34</v>
      </c>
      <c r="AG18" s="4" t="s">
        <v>542</v>
      </c>
      <c r="AH18" s="4" t="s">
        <v>543</v>
      </c>
      <c r="AI18" s="107">
        <v>27</v>
      </c>
      <c r="AJ18" s="107">
        <v>20.399999999999999</v>
      </c>
      <c r="AK18" s="107">
        <v>34.200000000000003</v>
      </c>
      <c r="AL18" s="107">
        <v>1.8</v>
      </c>
      <c r="AM18" s="107">
        <v>6</v>
      </c>
      <c r="AN18" s="108">
        <v>6860</v>
      </c>
    </row>
    <row r="19" spans="1:40" x14ac:dyDescent="0.15">
      <c r="A19" s="194"/>
      <c r="B19" s="762">
        <v>14</v>
      </c>
      <c r="C19" s="256" t="s">
        <v>36</v>
      </c>
      <c r="D19" s="256">
        <f t="shared" si="7"/>
        <v>0</v>
      </c>
      <c r="E19" s="489">
        <f t="shared" si="8"/>
        <v>0</v>
      </c>
      <c r="F19" s="759">
        <f t="shared" si="3"/>
        <v>0</v>
      </c>
      <c r="G19" s="759">
        <f t="shared" ref="G19:K19" si="46">G271</f>
        <v>0</v>
      </c>
      <c r="H19" s="759">
        <f t="shared" si="46"/>
        <v>0</v>
      </c>
      <c r="I19" s="759">
        <f t="shared" si="46"/>
        <v>0</v>
      </c>
      <c r="J19" s="759">
        <f t="shared" si="46"/>
        <v>0</v>
      </c>
      <c r="K19" s="760">
        <f t="shared" si="46"/>
        <v>0</v>
      </c>
      <c r="L19" s="762">
        <v>14</v>
      </c>
      <c r="M19" s="256" t="s">
        <v>36</v>
      </c>
      <c r="N19" s="256">
        <f t="shared" si="10"/>
        <v>0</v>
      </c>
      <c r="O19" s="489">
        <f t="shared" si="11"/>
        <v>0</v>
      </c>
      <c r="P19" s="759">
        <f t="shared" ref="P19:U19" si="47">P271</f>
        <v>0</v>
      </c>
      <c r="Q19" s="759">
        <f t="shared" si="47"/>
        <v>0</v>
      </c>
      <c r="R19" s="759">
        <f t="shared" si="47"/>
        <v>0</v>
      </c>
      <c r="S19" s="759">
        <f t="shared" si="47"/>
        <v>0</v>
      </c>
      <c r="T19" s="759">
        <f t="shared" si="47"/>
        <v>0</v>
      </c>
      <c r="U19" s="760">
        <f t="shared" si="47"/>
        <v>0</v>
      </c>
      <c r="V19" s="762">
        <v>14</v>
      </c>
      <c r="W19" s="256" t="s">
        <v>36</v>
      </c>
      <c r="X19" s="256">
        <f t="shared" si="13"/>
        <v>0</v>
      </c>
      <c r="Y19" s="489">
        <f t="shared" si="14"/>
        <v>0</v>
      </c>
      <c r="Z19" s="759">
        <f t="shared" ref="Z19:AE19" si="48">Z271</f>
        <v>0</v>
      </c>
      <c r="AA19" s="759">
        <f t="shared" si="48"/>
        <v>0</v>
      </c>
      <c r="AB19" s="759">
        <f t="shared" si="48"/>
        <v>0</v>
      </c>
      <c r="AC19" s="759">
        <f t="shared" si="48"/>
        <v>0</v>
      </c>
      <c r="AD19" s="759">
        <f t="shared" si="48"/>
        <v>0</v>
      </c>
      <c r="AE19" s="761">
        <f t="shared" si="48"/>
        <v>0</v>
      </c>
      <c r="AF19" s="106"/>
      <c r="AG19" s="4"/>
      <c r="AH19" s="4"/>
      <c r="AI19" s="107"/>
      <c r="AJ19" s="107"/>
      <c r="AK19" s="107"/>
      <c r="AL19" s="107"/>
      <c r="AM19" s="107"/>
      <c r="AN19" s="108"/>
    </row>
    <row r="20" spans="1:40" x14ac:dyDescent="0.15">
      <c r="A20" s="194"/>
      <c r="B20" s="762">
        <v>15</v>
      </c>
      <c r="C20" s="256" t="s">
        <v>37</v>
      </c>
      <c r="D20" s="256">
        <f t="shared" si="7"/>
        <v>0</v>
      </c>
      <c r="E20" s="489">
        <f t="shared" si="8"/>
        <v>0</v>
      </c>
      <c r="F20" s="759">
        <f t="shared" si="3"/>
        <v>0</v>
      </c>
      <c r="G20" s="759">
        <f t="shared" ref="G20:K20" si="49">G272</f>
        <v>0</v>
      </c>
      <c r="H20" s="759">
        <f t="shared" si="49"/>
        <v>0</v>
      </c>
      <c r="I20" s="759">
        <f t="shared" si="49"/>
        <v>0</v>
      </c>
      <c r="J20" s="759">
        <f t="shared" si="49"/>
        <v>0</v>
      </c>
      <c r="K20" s="760">
        <f t="shared" si="49"/>
        <v>0</v>
      </c>
      <c r="L20" s="762">
        <v>15</v>
      </c>
      <c r="M20" s="256" t="s">
        <v>37</v>
      </c>
      <c r="N20" s="256">
        <f t="shared" si="10"/>
        <v>0</v>
      </c>
      <c r="O20" s="489">
        <f t="shared" si="11"/>
        <v>0</v>
      </c>
      <c r="P20" s="759">
        <f t="shared" ref="P20:U20" si="50">P272</f>
        <v>0</v>
      </c>
      <c r="Q20" s="759">
        <f t="shared" si="50"/>
        <v>0</v>
      </c>
      <c r="R20" s="759">
        <f t="shared" si="50"/>
        <v>0</v>
      </c>
      <c r="S20" s="759">
        <f t="shared" si="50"/>
        <v>0</v>
      </c>
      <c r="T20" s="759">
        <f t="shared" si="50"/>
        <v>0</v>
      </c>
      <c r="U20" s="760">
        <f t="shared" si="50"/>
        <v>0</v>
      </c>
      <c r="V20" s="762">
        <v>15</v>
      </c>
      <c r="W20" s="256" t="s">
        <v>37</v>
      </c>
      <c r="X20" s="256">
        <f t="shared" si="13"/>
        <v>0</v>
      </c>
      <c r="Y20" s="489">
        <f t="shared" si="14"/>
        <v>0</v>
      </c>
      <c r="Z20" s="759">
        <f t="shared" ref="Z20:AE20" si="51">Z272</f>
        <v>0</v>
      </c>
      <c r="AA20" s="759">
        <f t="shared" si="51"/>
        <v>0</v>
      </c>
      <c r="AB20" s="759">
        <f t="shared" si="51"/>
        <v>0</v>
      </c>
      <c r="AC20" s="759">
        <f t="shared" si="51"/>
        <v>0</v>
      </c>
      <c r="AD20" s="759">
        <f t="shared" si="51"/>
        <v>0</v>
      </c>
      <c r="AE20" s="761">
        <f t="shared" si="51"/>
        <v>0</v>
      </c>
      <c r="AF20" s="106"/>
      <c r="AG20" s="4"/>
      <c r="AH20" s="4"/>
      <c r="AI20" s="107"/>
      <c r="AJ20" s="107"/>
      <c r="AK20" s="107"/>
      <c r="AL20" s="107"/>
      <c r="AM20" s="107"/>
      <c r="AN20" s="108"/>
    </row>
    <row r="21" spans="1:40" x14ac:dyDescent="0.15">
      <c r="A21" s="194"/>
      <c r="B21" s="762">
        <v>16</v>
      </c>
      <c r="C21" s="256" t="s">
        <v>38</v>
      </c>
      <c r="D21" s="256">
        <f t="shared" si="7"/>
        <v>0</v>
      </c>
      <c r="E21" s="489">
        <f t="shared" si="8"/>
        <v>0</v>
      </c>
      <c r="F21" s="759">
        <f t="shared" si="3"/>
        <v>0</v>
      </c>
      <c r="G21" s="759">
        <f t="shared" ref="G21:K21" si="52">G273</f>
        <v>0</v>
      </c>
      <c r="H21" s="759">
        <f t="shared" si="52"/>
        <v>0</v>
      </c>
      <c r="I21" s="759">
        <f t="shared" si="52"/>
        <v>0</v>
      </c>
      <c r="J21" s="759">
        <f t="shared" si="52"/>
        <v>0</v>
      </c>
      <c r="K21" s="760">
        <f t="shared" si="52"/>
        <v>0</v>
      </c>
      <c r="L21" s="762">
        <v>16</v>
      </c>
      <c r="M21" s="256" t="s">
        <v>38</v>
      </c>
      <c r="N21" s="256">
        <f t="shared" si="10"/>
        <v>0</v>
      </c>
      <c r="O21" s="489">
        <f t="shared" si="11"/>
        <v>0</v>
      </c>
      <c r="P21" s="759">
        <f t="shared" ref="P21:U21" si="53">P273</f>
        <v>0</v>
      </c>
      <c r="Q21" s="759">
        <f t="shared" si="53"/>
        <v>0</v>
      </c>
      <c r="R21" s="759">
        <f t="shared" si="53"/>
        <v>0</v>
      </c>
      <c r="S21" s="759">
        <f t="shared" si="53"/>
        <v>0</v>
      </c>
      <c r="T21" s="759">
        <f t="shared" si="53"/>
        <v>0</v>
      </c>
      <c r="U21" s="760">
        <f t="shared" si="53"/>
        <v>0</v>
      </c>
      <c r="V21" s="762">
        <v>16</v>
      </c>
      <c r="W21" s="256" t="s">
        <v>38</v>
      </c>
      <c r="X21" s="256">
        <f t="shared" si="13"/>
        <v>0</v>
      </c>
      <c r="Y21" s="489">
        <f t="shared" si="14"/>
        <v>0</v>
      </c>
      <c r="Z21" s="759">
        <f t="shared" ref="Z21:AE21" si="54">Z273</f>
        <v>0</v>
      </c>
      <c r="AA21" s="759">
        <f t="shared" si="54"/>
        <v>0</v>
      </c>
      <c r="AB21" s="759">
        <f t="shared" si="54"/>
        <v>0</v>
      </c>
      <c r="AC21" s="759">
        <f t="shared" si="54"/>
        <v>0</v>
      </c>
      <c r="AD21" s="759">
        <f t="shared" si="54"/>
        <v>0</v>
      </c>
      <c r="AE21" s="761">
        <f t="shared" si="54"/>
        <v>0</v>
      </c>
      <c r="AF21" s="106"/>
      <c r="AG21" s="4"/>
      <c r="AH21" s="4"/>
      <c r="AI21" s="107"/>
      <c r="AJ21" s="107"/>
      <c r="AK21" s="107"/>
      <c r="AL21" s="107"/>
      <c r="AM21" s="107"/>
      <c r="AN21" s="108"/>
    </row>
    <row r="22" spans="1:40" ht="15" thickBot="1" x14ac:dyDescent="0.2">
      <c r="A22" s="194"/>
      <c r="B22" s="763">
        <v>17</v>
      </c>
      <c r="C22" s="224" t="s">
        <v>559</v>
      </c>
      <c r="D22" s="224">
        <f t="shared" si="7"/>
        <v>0</v>
      </c>
      <c r="E22" s="764">
        <f t="shared" si="8"/>
        <v>0</v>
      </c>
      <c r="F22" s="765">
        <f t="shared" si="3"/>
        <v>0</v>
      </c>
      <c r="G22" s="765">
        <f t="shared" ref="G22:K22" si="55">G274</f>
        <v>0</v>
      </c>
      <c r="H22" s="765">
        <f t="shared" si="55"/>
        <v>0</v>
      </c>
      <c r="I22" s="765">
        <f t="shared" si="55"/>
        <v>0</v>
      </c>
      <c r="J22" s="765">
        <f t="shared" si="55"/>
        <v>0</v>
      </c>
      <c r="K22" s="766">
        <f t="shared" si="55"/>
        <v>0</v>
      </c>
      <c r="L22" s="763">
        <v>17</v>
      </c>
      <c r="M22" s="224" t="s">
        <v>277</v>
      </c>
      <c r="N22" s="224">
        <f t="shared" si="10"/>
        <v>0</v>
      </c>
      <c r="O22" s="764">
        <f t="shared" si="11"/>
        <v>0</v>
      </c>
      <c r="P22" s="765">
        <f t="shared" ref="P22:U22" si="56">P274</f>
        <v>0</v>
      </c>
      <c r="Q22" s="765">
        <f t="shared" si="56"/>
        <v>0</v>
      </c>
      <c r="R22" s="765">
        <f t="shared" si="56"/>
        <v>0</v>
      </c>
      <c r="S22" s="765">
        <f t="shared" si="56"/>
        <v>0</v>
      </c>
      <c r="T22" s="765">
        <f t="shared" si="56"/>
        <v>0</v>
      </c>
      <c r="U22" s="766">
        <f t="shared" si="56"/>
        <v>0</v>
      </c>
      <c r="V22" s="763">
        <v>17</v>
      </c>
      <c r="W22" s="224" t="s">
        <v>277</v>
      </c>
      <c r="X22" s="224">
        <f t="shared" si="13"/>
        <v>0</v>
      </c>
      <c r="Y22" s="764">
        <f t="shared" si="14"/>
        <v>0</v>
      </c>
      <c r="Z22" s="765">
        <f t="shared" ref="Z22:AE22" si="57">Z274</f>
        <v>0</v>
      </c>
      <c r="AA22" s="765">
        <f t="shared" si="57"/>
        <v>0</v>
      </c>
      <c r="AB22" s="765">
        <f t="shared" si="57"/>
        <v>0</v>
      </c>
      <c r="AC22" s="765">
        <f t="shared" si="57"/>
        <v>0</v>
      </c>
      <c r="AD22" s="765">
        <f t="shared" si="57"/>
        <v>0</v>
      </c>
      <c r="AE22" s="767">
        <f t="shared" si="57"/>
        <v>0</v>
      </c>
      <c r="AF22" s="106"/>
      <c r="AG22" s="4"/>
      <c r="AH22" s="4"/>
      <c r="AI22" s="107"/>
      <c r="AJ22" s="107"/>
      <c r="AK22" s="107"/>
      <c r="AL22" s="107"/>
      <c r="AM22" s="107"/>
      <c r="AN22" s="108"/>
    </row>
    <row r="23" spans="1:40" ht="15" thickBot="1" x14ac:dyDescent="0.2">
      <c r="A23" s="194"/>
      <c r="B23" s="768"/>
      <c r="C23" s="302"/>
      <c r="D23" s="302"/>
      <c r="E23" s="302"/>
      <c r="F23" s="769"/>
      <c r="G23" s="769"/>
      <c r="H23" s="769"/>
      <c r="I23" s="769"/>
      <c r="J23" s="769"/>
      <c r="K23" s="500"/>
      <c r="L23" s="500"/>
      <c r="M23" s="500"/>
      <c r="N23" s="500"/>
      <c r="O23" s="500"/>
      <c r="P23" s="500"/>
      <c r="Q23" s="500"/>
      <c r="R23" s="500"/>
      <c r="S23" s="500"/>
      <c r="T23" s="500"/>
      <c r="U23" s="500"/>
      <c r="V23" s="500"/>
      <c r="W23" s="500"/>
      <c r="X23" s="500"/>
      <c r="Y23" s="500"/>
      <c r="Z23" s="500"/>
      <c r="AA23" s="500"/>
      <c r="AB23" s="500"/>
      <c r="AC23" s="500"/>
      <c r="AD23" s="500"/>
      <c r="AE23" s="194"/>
      <c r="AF23" s="109"/>
      <c r="AG23" s="110"/>
      <c r="AH23" s="110"/>
      <c r="AI23" s="111"/>
      <c r="AJ23" s="111"/>
      <c r="AK23" s="111"/>
      <c r="AL23" s="111"/>
      <c r="AM23" s="111"/>
      <c r="AN23" s="112"/>
    </row>
    <row r="24" spans="1:40" x14ac:dyDescent="0.15">
      <c r="A24" s="23"/>
      <c r="B24" s="825"/>
      <c r="C24" s="23"/>
      <c r="D24" s="23"/>
      <c r="E24" s="23"/>
      <c r="F24" s="23"/>
      <c r="G24" s="23"/>
      <c r="H24" s="23"/>
      <c r="I24" s="23"/>
      <c r="J24" s="23"/>
      <c r="K24" s="23"/>
      <c r="L24" s="55"/>
      <c r="M24" s="55"/>
      <c r="N24" s="55"/>
      <c r="O24" s="55"/>
      <c r="P24" s="55"/>
      <c r="Q24" s="55"/>
      <c r="R24" s="55"/>
      <c r="S24" s="55"/>
      <c r="T24" s="55"/>
      <c r="U24" s="55"/>
      <c r="V24" s="55"/>
      <c r="W24" s="55"/>
      <c r="X24" s="55"/>
      <c r="Y24" s="55"/>
      <c r="Z24" s="55"/>
      <c r="AA24" s="55"/>
      <c r="AB24" s="55"/>
      <c r="AC24" s="55"/>
      <c r="AD24" s="55"/>
      <c r="AE24" s="23"/>
    </row>
    <row r="25" spans="1:40" ht="15" thickBot="1" x14ac:dyDescent="0.2">
      <c r="A25" s="23"/>
      <c r="B25" s="825"/>
      <c r="C25" s="23"/>
      <c r="D25" s="23"/>
      <c r="E25" s="23"/>
      <c r="F25" s="23"/>
      <c r="G25" s="23"/>
      <c r="H25" s="23"/>
      <c r="I25" s="23"/>
      <c r="J25" s="23"/>
      <c r="K25" s="23"/>
      <c r="L25" s="55"/>
      <c r="M25" s="55"/>
      <c r="N25" s="55"/>
      <c r="O25" s="55"/>
      <c r="P25" s="55"/>
      <c r="Q25" s="55"/>
      <c r="R25" s="55"/>
      <c r="S25" s="55"/>
      <c r="T25" s="55"/>
      <c r="U25" s="55"/>
      <c r="V25" s="55"/>
      <c r="W25" s="55"/>
      <c r="X25" s="55"/>
      <c r="Y25" s="55"/>
      <c r="Z25" s="55"/>
      <c r="AA25" s="55"/>
      <c r="AB25" s="55"/>
      <c r="AC25" s="55"/>
      <c r="AD25" s="55"/>
      <c r="AE25" s="23"/>
      <c r="AF25" s="99" t="s">
        <v>538</v>
      </c>
      <c r="AG25" s="23"/>
      <c r="AH25" s="9" t="s">
        <v>542</v>
      </c>
      <c r="AI25" s="9" t="s">
        <v>560</v>
      </c>
      <c r="AJ25" s="23"/>
      <c r="AK25" s="23"/>
      <c r="AL25" s="23"/>
      <c r="AM25" s="23"/>
      <c r="AN25" s="23"/>
    </row>
    <row r="26" spans="1:40" x14ac:dyDescent="0.15">
      <c r="A26" s="23"/>
      <c r="B26" s="825"/>
      <c r="C26" s="23"/>
      <c r="D26" s="23"/>
      <c r="E26" s="23"/>
      <c r="F26" s="23"/>
      <c r="G26" s="23"/>
      <c r="H26" s="23"/>
      <c r="I26" s="23"/>
      <c r="J26" s="23"/>
      <c r="K26" s="23"/>
      <c r="L26" s="55"/>
      <c r="M26" s="55"/>
      <c r="N26" s="55"/>
      <c r="O26" s="55"/>
      <c r="P26" s="55"/>
      <c r="Q26" s="55"/>
      <c r="R26" s="55"/>
      <c r="S26" s="55"/>
      <c r="T26" s="55"/>
      <c r="U26" s="55"/>
      <c r="V26" s="55"/>
      <c r="W26" s="55"/>
      <c r="X26" s="55"/>
      <c r="Y26" s="55"/>
      <c r="Z26" s="55"/>
      <c r="AA26" s="55"/>
      <c r="AB26" s="55"/>
      <c r="AC26" s="55"/>
      <c r="AD26" s="55"/>
      <c r="AE26" s="23"/>
      <c r="AF26" s="1442" t="s">
        <v>15</v>
      </c>
      <c r="AG26" s="1437" t="s">
        <v>16</v>
      </c>
      <c r="AH26" s="1446" t="s">
        <v>17</v>
      </c>
      <c r="AI26" s="1437" t="s">
        <v>19</v>
      </c>
      <c r="AJ26" s="1437"/>
      <c r="AK26" s="1437"/>
      <c r="AL26" s="1437"/>
      <c r="AM26" s="1438"/>
      <c r="AN26" s="1439"/>
    </row>
    <row r="27" spans="1:40" x14ac:dyDescent="0.15">
      <c r="A27" s="23"/>
      <c r="B27" s="825"/>
      <c r="C27" s="23"/>
      <c r="D27" s="23"/>
      <c r="E27" s="23"/>
      <c r="F27" s="23"/>
      <c r="G27" s="23"/>
      <c r="H27" s="23"/>
      <c r="I27" s="23"/>
      <c r="J27" s="23"/>
      <c r="K27" s="23"/>
      <c r="L27" s="55"/>
      <c r="M27" s="55"/>
      <c r="N27" s="55"/>
      <c r="O27" s="55"/>
      <c r="P27" s="55"/>
      <c r="Q27" s="55"/>
      <c r="R27" s="55"/>
      <c r="S27" s="55"/>
      <c r="T27" s="55"/>
      <c r="U27" s="55"/>
      <c r="V27" s="55"/>
      <c r="W27" s="55"/>
      <c r="X27" s="55"/>
      <c r="Y27" s="55"/>
      <c r="Z27" s="55"/>
      <c r="AA27" s="55"/>
      <c r="AB27" s="55"/>
      <c r="AC27" s="55"/>
      <c r="AD27" s="55"/>
      <c r="AE27" s="23"/>
      <c r="AF27" s="1443"/>
      <c r="AG27" s="1444"/>
      <c r="AH27" s="1444"/>
      <c r="AI27" s="733" t="s">
        <v>561</v>
      </c>
      <c r="AJ27" s="733" t="s">
        <v>562</v>
      </c>
      <c r="AK27" s="733" t="s">
        <v>563</v>
      </c>
      <c r="AL27" s="733" t="s">
        <v>564</v>
      </c>
      <c r="AM27" s="733" t="s">
        <v>565</v>
      </c>
      <c r="AN27" s="100" t="s">
        <v>566</v>
      </c>
    </row>
    <row r="28" spans="1:40" ht="15" thickBot="1" x14ac:dyDescent="0.2">
      <c r="A28" s="23"/>
      <c r="B28" s="825"/>
      <c r="C28" s="23"/>
      <c r="D28" s="23"/>
      <c r="E28" s="23"/>
      <c r="F28" s="23"/>
      <c r="G28" s="23"/>
      <c r="H28" s="23"/>
      <c r="I28" s="23"/>
      <c r="J28" s="23"/>
      <c r="K28" s="23"/>
      <c r="L28" s="55"/>
      <c r="M28" s="55"/>
      <c r="N28" s="55"/>
      <c r="O28" s="55"/>
      <c r="P28" s="55"/>
      <c r="Q28" s="55"/>
      <c r="R28" s="55"/>
      <c r="S28" s="55"/>
      <c r="T28" s="55"/>
      <c r="U28" s="55"/>
      <c r="V28" s="55"/>
      <c r="W28" s="55"/>
      <c r="X28" s="55"/>
      <c r="Y28" s="55"/>
      <c r="Z28" s="55"/>
      <c r="AA28" s="55"/>
      <c r="AB28" s="55"/>
      <c r="AC28" s="55"/>
      <c r="AD28" s="55"/>
      <c r="AE28" s="23"/>
      <c r="AF28" s="101"/>
      <c r="AG28" s="1445"/>
      <c r="AH28" s="1445"/>
      <c r="AI28" s="734" t="s">
        <v>1</v>
      </c>
      <c r="AJ28" s="734" t="s">
        <v>3</v>
      </c>
      <c r="AK28" s="734" t="s">
        <v>2</v>
      </c>
      <c r="AL28" s="734" t="s">
        <v>4</v>
      </c>
      <c r="AM28" s="734" t="s">
        <v>244</v>
      </c>
      <c r="AN28" s="102" t="s">
        <v>20</v>
      </c>
    </row>
    <row r="29" spans="1:40" x14ac:dyDescent="0.15">
      <c r="A29" s="23"/>
      <c r="B29" s="825"/>
      <c r="C29" s="23"/>
      <c r="D29" s="23"/>
      <c r="E29" s="23"/>
      <c r="F29" s="23"/>
      <c r="G29" s="23"/>
      <c r="H29" s="23"/>
      <c r="I29" s="23"/>
      <c r="J29" s="23"/>
      <c r="K29" s="23"/>
      <c r="L29" s="55"/>
      <c r="M29" s="55"/>
      <c r="N29" s="55"/>
      <c r="O29" s="55"/>
      <c r="P29" s="55"/>
      <c r="Q29" s="55"/>
      <c r="R29" s="55"/>
      <c r="S29" s="55"/>
      <c r="T29" s="55"/>
      <c r="U29" s="55"/>
      <c r="V29" s="55"/>
      <c r="W29" s="55"/>
      <c r="X29" s="55"/>
      <c r="Y29" s="55"/>
      <c r="Z29" s="55"/>
      <c r="AA29" s="55"/>
      <c r="AB29" s="55"/>
      <c r="AC29" s="55"/>
      <c r="AD29" s="55"/>
      <c r="AE29" s="23"/>
      <c r="AF29" s="103" t="s">
        <v>23</v>
      </c>
      <c r="AG29" s="4" t="s">
        <v>542</v>
      </c>
      <c r="AH29" s="114" t="s">
        <v>560</v>
      </c>
      <c r="AI29" s="104">
        <v>20.399999999999999</v>
      </c>
      <c r="AJ29" s="104">
        <v>15.6</v>
      </c>
      <c r="AK29" s="104">
        <v>25.8</v>
      </c>
      <c r="AL29" s="104">
        <v>1.8</v>
      </c>
      <c r="AM29" s="104">
        <v>6</v>
      </c>
      <c r="AN29" s="105">
        <v>6860</v>
      </c>
    </row>
    <row r="30" spans="1:40" x14ac:dyDescent="0.15">
      <c r="A30" s="23"/>
      <c r="B30" s="825"/>
      <c r="C30" s="23"/>
      <c r="D30" s="23"/>
      <c r="E30" s="23"/>
      <c r="F30" s="23"/>
      <c r="G30" s="23"/>
      <c r="H30" s="23"/>
      <c r="I30" s="23"/>
      <c r="J30" s="23"/>
      <c r="K30" s="23"/>
      <c r="L30" s="55"/>
      <c r="M30" s="55"/>
      <c r="N30" s="55"/>
      <c r="O30" s="55"/>
      <c r="P30" s="55"/>
      <c r="Q30" s="55"/>
      <c r="R30" s="55"/>
      <c r="S30" s="55"/>
      <c r="T30" s="55"/>
      <c r="U30" s="55"/>
      <c r="V30" s="55"/>
      <c r="W30" s="55"/>
      <c r="X30" s="55"/>
      <c r="Y30" s="55"/>
      <c r="Z30" s="55"/>
      <c r="AA30" s="55"/>
      <c r="AB30" s="55"/>
      <c r="AC30" s="55"/>
      <c r="AD30" s="55"/>
      <c r="AE30" s="23"/>
      <c r="AF30" s="106" t="s">
        <v>24</v>
      </c>
      <c r="AG30" s="4" t="s">
        <v>542</v>
      </c>
      <c r="AH30" s="4" t="s">
        <v>560</v>
      </c>
      <c r="AI30" s="107">
        <v>27</v>
      </c>
      <c r="AJ30" s="107">
        <v>20.399999999999999</v>
      </c>
      <c r="AK30" s="107">
        <v>34.200000000000003</v>
      </c>
      <c r="AL30" s="107">
        <v>2.1</v>
      </c>
      <c r="AM30" s="107">
        <v>7.8</v>
      </c>
      <c r="AN30" s="108">
        <v>8820</v>
      </c>
    </row>
    <row r="31" spans="1:40" x14ac:dyDescent="0.15">
      <c r="A31" s="23"/>
      <c r="B31" s="825"/>
      <c r="C31" s="23"/>
      <c r="D31" s="23"/>
      <c r="E31" s="23"/>
      <c r="F31" s="23"/>
      <c r="G31" s="23"/>
      <c r="H31" s="23"/>
      <c r="I31" s="23"/>
      <c r="J31" s="23"/>
      <c r="K31" s="23"/>
      <c r="L31" s="55"/>
      <c r="M31" s="55"/>
      <c r="N31" s="55"/>
      <c r="O31" s="55"/>
      <c r="P31" s="55"/>
      <c r="Q31" s="55"/>
      <c r="R31" s="55"/>
      <c r="S31" s="55"/>
      <c r="T31" s="55"/>
      <c r="U31" s="55"/>
      <c r="V31" s="55"/>
      <c r="W31" s="55"/>
      <c r="X31" s="55"/>
      <c r="Y31" s="55"/>
      <c r="Z31" s="55"/>
      <c r="AA31" s="55"/>
      <c r="AB31" s="55"/>
      <c r="AC31" s="55"/>
      <c r="AD31" s="55"/>
      <c r="AE31" s="23"/>
      <c r="AF31" s="106" t="s">
        <v>25</v>
      </c>
      <c r="AG31" s="4" t="s">
        <v>542</v>
      </c>
      <c r="AH31" s="4" t="s">
        <v>560</v>
      </c>
      <c r="AI31" s="107">
        <v>18</v>
      </c>
      <c r="AJ31" s="107">
        <v>13.8</v>
      </c>
      <c r="AK31" s="107">
        <v>22.8</v>
      </c>
      <c r="AL31" s="107">
        <v>2.4</v>
      </c>
      <c r="AM31" s="107">
        <v>9</v>
      </c>
      <c r="AN31" s="108">
        <v>9800</v>
      </c>
    </row>
    <row r="32" spans="1:40" x14ac:dyDescent="0.15">
      <c r="A32" s="23"/>
      <c r="B32" s="825"/>
      <c r="C32" s="23"/>
      <c r="D32" s="23"/>
      <c r="E32" s="23"/>
      <c r="F32" s="23"/>
      <c r="G32" s="23"/>
      <c r="H32" s="23"/>
      <c r="I32" s="23"/>
      <c r="J32" s="23"/>
      <c r="K32" s="23"/>
      <c r="L32" s="55"/>
      <c r="M32" s="55"/>
      <c r="N32" s="55"/>
      <c r="O32" s="55"/>
      <c r="P32" s="55"/>
      <c r="Q32" s="55"/>
      <c r="R32" s="55"/>
      <c r="S32" s="55"/>
      <c r="T32" s="55"/>
      <c r="U32" s="55"/>
      <c r="V32" s="55"/>
      <c r="W32" s="55"/>
      <c r="X32" s="55"/>
      <c r="Y32" s="55"/>
      <c r="Z32" s="55"/>
      <c r="AA32" s="55"/>
      <c r="AB32" s="55"/>
      <c r="AC32" s="55"/>
      <c r="AD32" s="55"/>
      <c r="AE32" s="23"/>
      <c r="AF32" s="106" t="s">
        <v>26</v>
      </c>
      <c r="AG32" s="4" t="s">
        <v>542</v>
      </c>
      <c r="AH32" s="4" t="s">
        <v>560</v>
      </c>
      <c r="AI32" s="107">
        <v>16.8</v>
      </c>
      <c r="AJ32" s="107">
        <v>12.6</v>
      </c>
      <c r="AK32" s="107">
        <v>20.399999999999999</v>
      </c>
      <c r="AL32" s="107">
        <v>2.4</v>
      </c>
      <c r="AM32" s="107">
        <v>9</v>
      </c>
      <c r="AN32" s="108">
        <v>7840</v>
      </c>
    </row>
    <row r="33" spans="1:40" x14ac:dyDescent="0.15">
      <c r="A33" s="23"/>
      <c r="B33" s="825"/>
      <c r="C33" s="23"/>
      <c r="D33" s="23"/>
      <c r="E33" s="23"/>
      <c r="F33" s="23"/>
      <c r="G33" s="23"/>
      <c r="H33" s="23"/>
      <c r="I33" s="23"/>
      <c r="J33" s="23"/>
      <c r="K33" s="23"/>
      <c r="L33" s="55"/>
      <c r="M33" s="55"/>
      <c r="N33" s="55"/>
      <c r="O33" s="55"/>
      <c r="P33" s="55"/>
      <c r="Q33" s="55"/>
      <c r="R33" s="55"/>
      <c r="S33" s="55"/>
      <c r="T33" s="55"/>
      <c r="U33" s="55"/>
      <c r="V33" s="55"/>
      <c r="W33" s="55"/>
      <c r="X33" s="55"/>
      <c r="Y33" s="55"/>
      <c r="Z33" s="55"/>
      <c r="AA33" s="55"/>
      <c r="AB33" s="55"/>
      <c r="AC33" s="55"/>
      <c r="AD33" s="55"/>
      <c r="AE33" s="23"/>
      <c r="AF33" s="106" t="s">
        <v>27</v>
      </c>
      <c r="AG33" s="4" t="s">
        <v>542</v>
      </c>
      <c r="AH33" s="4" t="s">
        <v>560</v>
      </c>
      <c r="AI33" s="107">
        <v>16.8</v>
      </c>
      <c r="AJ33" s="107">
        <v>12.6</v>
      </c>
      <c r="AK33" s="107">
        <v>20.399999999999999</v>
      </c>
      <c r="AL33" s="107">
        <v>2.4</v>
      </c>
      <c r="AM33" s="107">
        <v>9</v>
      </c>
      <c r="AN33" s="108">
        <v>7840</v>
      </c>
    </row>
    <row r="34" spans="1:40" x14ac:dyDescent="0.15">
      <c r="A34" s="23"/>
      <c r="B34" s="825"/>
      <c r="C34" s="23"/>
      <c r="D34" s="23"/>
      <c r="E34" s="23"/>
      <c r="F34" s="23"/>
      <c r="G34" s="23"/>
      <c r="H34" s="23"/>
      <c r="I34" s="23"/>
      <c r="J34" s="23"/>
      <c r="K34" s="23"/>
      <c r="L34" s="55"/>
      <c r="M34" s="55"/>
      <c r="N34" s="55"/>
      <c r="O34" s="55"/>
      <c r="P34" s="55"/>
      <c r="Q34" s="55"/>
      <c r="R34" s="55"/>
      <c r="S34" s="55"/>
      <c r="T34" s="55"/>
      <c r="U34" s="55"/>
      <c r="V34" s="55"/>
      <c r="W34" s="55"/>
      <c r="X34" s="55"/>
      <c r="Y34" s="55"/>
      <c r="Z34" s="55"/>
      <c r="AA34" s="55"/>
      <c r="AB34" s="55"/>
      <c r="AC34" s="55"/>
      <c r="AD34" s="55"/>
      <c r="AE34" s="23"/>
      <c r="AF34" s="106" t="s">
        <v>28</v>
      </c>
      <c r="AG34" s="4" t="s">
        <v>542</v>
      </c>
      <c r="AH34" s="4" t="s">
        <v>560</v>
      </c>
      <c r="AI34" s="107">
        <v>20.399999999999999</v>
      </c>
      <c r="AJ34" s="107">
        <v>15.6</v>
      </c>
      <c r="AK34" s="107">
        <v>25.8</v>
      </c>
      <c r="AL34" s="107">
        <v>2.1</v>
      </c>
      <c r="AM34" s="107">
        <v>7.8</v>
      </c>
      <c r="AN34" s="108">
        <v>7840</v>
      </c>
    </row>
    <row r="35" spans="1:40" x14ac:dyDescent="0.15">
      <c r="A35" s="23"/>
      <c r="B35" s="825"/>
      <c r="C35" s="23"/>
      <c r="D35" s="23"/>
      <c r="E35" s="23"/>
      <c r="F35" s="23"/>
      <c r="G35" s="23"/>
      <c r="H35" s="23"/>
      <c r="I35" s="23"/>
      <c r="J35" s="23"/>
      <c r="K35" s="23"/>
      <c r="L35" s="55"/>
      <c r="M35" s="55"/>
      <c r="N35" s="55"/>
      <c r="O35" s="55"/>
      <c r="P35" s="55"/>
      <c r="Q35" s="55"/>
      <c r="R35" s="55"/>
      <c r="S35" s="55"/>
      <c r="T35" s="55"/>
      <c r="U35" s="55"/>
      <c r="V35" s="55"/>
      <c r="W35" s="55"/>
      <c r="X35" s="55"/>
      <c r="Y35" s="55"/>
      <c r="Z35" s="55"/>
      <c r="AA35" s="55"/>
      <c r="AB35" s="55"/>
      <c r="AC35" s="55"/>
      <c r="AD35" s="55"/>
      <c r="AE35" s="23"/>
      <c r="AF35" s="106" t="s">
        <v>567</v>
      </c>
      <c r="AG35" s="4" t="s">
        <v>542</v>
      </c>
      <c r="AH35" s="4" t="s">
        <v>560</v>
      </c>
      <c r="AI35" s="107">
        <v>27.6</v>
      </c>
      <c r="AJ35" s="107">
        <v>21</v>
      </c>
      <c r="AK35" s="107">
        <v>34.799999999999997</v>
      </c>
      <c r="AL35" s="107">
        <v>2.1</v>
      </c>
      <c r="AM35" s="107">
        <v>7.8</v>
      </c>
      <c r="AN35" s="108">
        <v>8820</v>
      </c>
    </row>
    <row r="36" spans="1:40" x14ac:dyDescent="0.15">
      <c r="A36" s="23"/>
      <c r="B36" s="825"/>
      <c r="C36" s="23"/>
      <c r="D36" s="23"/>
      <c r="E36" s="23"/>
      <c r="F36" s="23"/>
      <c r="G36" s="23"/>
      <c r="H36" s="23"/>
      <c r="I36" s="23"/>
      <c r="J36" s="23"/>
      <c r="K36" s="23"/>
      <c r="L36" s="55"/>
      <c r="M36" s="55"/>
      <c r="N36" s="55"/>
      <c r="O36" s="55"/>
      <c r="P36" s="55"/>
      <c r="Q36" s="55"/>
      <c r="R36" s="55"/>
      <c r="S36" s="55"/>
      <c r="T36" s="55"/>
      <c r="U36" s="55"/>
      <c r="V36" s="55"/>
      <c r="W36" s="55"/>
      <c r="X36" s="55"/>
      <c r="Y36" s="55"/>
      <c r="Z36" s="55"/>
      <c r="AA36" s="55"/>
      <c r="AB36" s="55"/>
      <c r="AC36" s="55"/>
      <c r="AD36" s="55"/>
      <c r="AE36" s="23"/>
      <c r="AF36" s="106" t="s">
        <v>30</v>
      </c>
      <c r="AG36" s="4" t="s">
        <v>542</v>
      </c>
      <c r="AH36" s="4" t="s">
        <v>560</v>
      </c>
      <c r="AI36" s="107">
        <v>21</v>
      </c>
      <c r="AJ36" s="107">
        <v>15.6</v>
      </c>
      <c r="AK36" s="107">
        <v>26.4</v>
      </c>
      <c r="AL36" s="107">
        <v>2.1</v>
      </c>
      <c r="AM36" s="107">
        <v>6</v>
      </c>
      <c r="AN36" s="108">
        <v>7840</v>
      </c>
    </row>
    <row r="37" spans="1:40" x14ac:dyDescent="0.15">
      <c r="A37" s="23"/>
      <c r="B37" s="825"/>
      <c r="C37" s="23"/>
      <c r="D37" s="23"/>
      <c r="E37" s="23"/>
      <c r="F37" s="23"/>
      <c r="G37" s="23"/>
      <c r="H37" s="23"/>
      <c r="I37" s="23"/>
      <c r="J37" s="23"/>
      <c r="K37" s="23"/>
      <c r="L37" s="55"/>
      <c r="M37" s="55"/>
      <c r="N37" s="55"/>
      <c r="O37" s="55"/>
      <c r="P37" s="55"/>
      <c r="Q37" s="55"/>
      <c r="R37" s="55"/>
      <c r="S37" s="55"/>
      <c r="T37" s="55"/>
      <c r="U37" s="55"/>
      <c r="V37" s="55"/>
      <c r="W37" s="55"/>
      <c r="X37" s="55"/>
      <c r="Y37" s="55"/>
      <c r="Z37" s="55"/>
      <c r="AA37" s="55"/>
      <c r="AB37" s="55"/>
      <c r="AC37" s="55"/>
      <c r="AD37" s="55"/>
      <c r="AE37" s="23"/>
      <c r="AF37" s="106" t="s">
        <v>31</v>
      </c>
      <c r="AG37" s="4" t="s">
        <v>542</v>
      </c>
      <c r="AH37" s="4" t="s">
        <v>560</v>
      </c>
      <c r="AI37" s="107">
        <v>21</v>
      </c>
      <c r="AJ37" s="107">
        <v>15.6</v>
      </c>
      <c r="AK37" s="107">
        <v>26.4</v>
      </c>
      <c r="AL37" s="107">
        <v>2.1</v>
      </c>
      <c r="AM37" s="107">
        <v>6</v>
      </c>
      <c r="AN37" s="108">
        <v>7840</v>
      </c>
    </row>
    <row r="38" spans="1:40" x14ac:dyDescent="0.15">
      <c r="A38" s="23"/>
      <c r="B38" s="825"/>
      <c r="C38" s="23"/>
      <c r="D38" s="23"/>
      <c r="E38" s="23"/>
      <c r="F38" s="23"/>
      <c r="G38" s="23"/>
      <c r="H38" s="23"/>
      <c r="I38" s="23"/>
      <c r="J38" s="23"/>
      <c r="K38" s="23"/>
      <c r="L38" s="55"/>
      <c r="M38" s="55"/>
      <c r="N38" s="55"/>
      <c r="O38" s="55"/>
      <c r="P38" s="55"/>
      <c r="Q38" s="55"/>
      <c r="R38" s="55"/>
      <c r="S38" s="55"/>
      <c r="T38" s="55"/>
      <c r="U38" s="55"/>
      <c r="V38" s="55"/>
      <c r="W38" s="55"/>
      <c r="X38" s="55"/>
      <c r="Y38" s="55"/>
      <c r="Z38" s="55"/>
      <c r="AA38" s="55"/>
      <c r="AB38" s="55"/>
      <c r="AC38" s="55"/>
      <c r="AD38" s="55"/>
      <c r="AE38" s="23"/>
      <c r="AF38" s="106" t="s">
        <v>568</v>
      </c>
      <c r="AG38" s="4" t="s">
        <v>542</v>
      </c>
      <c r="AH38" s="4" t="s">
        <v>560</v>
      </c>
      <c r="AI38" s="107">
        <v>22.8</v>
      </c>
      <c r="AJ38" s="107">
        <v>17.399999999999999</v>
      </c>
      <c r="AK38" s="107">
        <v>28.2</v>
      </c>
      <c r="AL38" s="107">
        <v>1.8</v>
      </c>
      <c r="AM38" s="107">
        <v>6</v>
      </c>
      <c r="AN38" s="108">
        <v>6860</v>
      </c>
    </row>
    <row r="39" spans="1:40" x14ac:dyDescent="0.15">
      <c r="A39" s="23"/>
      <c r="B39" s="825"/>
      <c r="C39" s="9"/>
      <c r="D39" s="9"/>
      <c r="E39" s="9"/>
      <c r="F39" s="98"/>
      <c r="G39" s="98"/>
      <c r="H39" s="98"/>
      <c r="I39" s="98"/>
      <c r="J39" s="98"/>
      <c r="K39" s="55"/>
      <c r="L39" s="55"/>
      <c r="M39" s="55"/>
      <c r="N39" s="55"/>
      <c r="O39" s="55"/>
      <c r="P39" s="55"/>
      <c r="Q39" s="55"/>
      <c r="R39" s="55"/>
      <c r="S39" s="55"/>
      <c r="T39" s="55"/>
      <c r="U39" s="55"/>
      <c r="V39" s="55"/>
      <c r="W39" s="55"/>
      <c r="X39" s="55"/>
      <c r="Y39" s="55"/>
      <c r="Z39" s="55"/>
      <c r="AA39" s="55"/>
      <c r="AB39" s="55"/>
      <c r="AC39" s="55"/>
      <c r="AD39" s="55"/>
      <c r="AE39" s="23"/>
      <c r="AF39" s="106" t="s">
        <v>33</v>
      </c>
      <c r="AG39" s="4" t="s">
        <v>542</v>
      </c>
      <c r="AH39" s="4" t="s">
        <v>560</v>
      </c>
      <c r="AI39" s="107">
        <v>22.8</v>
      </c>
      <c r="AJ39" s="107">
        <v>17.399999999999999</v>
      </c>
      <c r="AK39" s="107">
        <v>28.2</v>
      </c>
      <c r="AL39" s="107">
        <v>1.8</v>
      </c>
      <c r="AM39" s="107">
        <v>6</v>
      </c>
      <c r="AN39" s="108">
        <v>6860</v>
      </c>
    </row>
    <row r="40" spans="1:40" x14ac:dyDescent="0.15">
      <c r="B40" s="113"/>
      <c r="C40" s="9"/>
      <c r="D40" s="9"/>
      <c r="E40" s="9"/>
      <c r="F40" s="98"/>
      <c r="G40" s="98"/>
      <c r="H40" s="98"/>
      <c r="I40" s="98"/>
      <c r="J40" s="98"/>
      <c r="K40" s="55"/>
      <c r="L40" s="55"/>
      <c r="M40" s="55"/>
      <c r="N40" s="55"/>
      <c r="O40" s="55"/>
      <c r="P40" s="55"/>
      <c r="Q40" s="55"/>
      <c r="R40" s="55"/>
      <c r="S40" s="55"/>
      <c r="T40" s="55"/>
      <c r="U40" s="55"/>
      <c r="V40" s="55"/>
      <c r="W40" s="55"/>
      <c r="X40" s="55"/>
      <c r="Y40" s="55"/>
      <c r="Z40" s="55"/>
      <c r="AA40" s="55"/>
      <c r="AB40" s="55"/>
      <c r="AC40" s="55"/>
      <c r="AD40" s="55"/>
      <c r="AF40" s="106" t="s">
        <v>34</v>
      </c>
      <c r="AG40" s="4" t="s">
        <v>542</v>
      </c>
      <c r="AH40" s="4" t="s">
        <v>560</v>
      </c>
      <c r="AI40" s="107">
        <v>22.8</v>
      </c>
      <c r="AJ40" s="107">
        <v>17.399999999999999</v>
      </c>
      <c r="AK40" s="107">
        <v>28.2</v>
      </c>
      <c r="AL40" s="107">
        <v>1.8</v>
      </c>
      <c r="AM40" s="107">
        <v>6</v>
      </c>
      <c r="AN40" s="108">
        <v>6860</v>
      </c>
    </row>
    <row r="41" spans="1:40" x14ac:dyDescent="0.15">
      <c r="B41" s="113"/>
      <c r="C41" s="9"/>
      <c r="D41" s="9"/>
      <c r="E41" s="9"/>
      <c r="F41" s="98"/>
      <c r="G41" s="98"/>
      <c r="H41" s="98"/>
      <c r="I41" s="98"/>
      <c r="J41" s="98"/>
      <c r="K41" s="55"/>
      <c r="L41" s="55"/>
      <c r="M41" s="55"/>
      <c r="N41" s="55"/>
      <c r="O41" s="55"/>
      <c r="P41" s="55"/>
      <c r="Q41" s="55"/>
      <c r="R41" s="55"/>
      <c r="S41" s="55"/>
      <c r="T41" s="55"/>
      <c r="U41" s="55"/>
      <c r="V41" s="55"/>
      <c r="W41" s="55"/>
      <c r="X41" s="55"/>
      <c r="Y41" s="55"/>
      <c r="Z41" s="55"/>
      <c r="AA41" s="55"/>
      <c r="AB41" s="55"/>
      <c r="AC41" s="55"/>
      <c r="AD41" s="55"/>
      <c r="AF41" s="106"/>
      <c r="AG41" s="4"/>
      <c r="AH41" s="4"/>
      <c r="AI41" s="107"/>
      <c r="AJ41" s="107"/>
      <c r="AK41" s="107"/>
      <c r="AL41" s="107"/>
      <c r="AM41" s="107"/>
      <c r="AN41" s="108"/>
    </row>
    <row r="42" spans="1:40" x14ac:dyDescent="0.15">
      <c r="B42" s="113"/>
      <c r="C42" s="9"/>
      <c r="D42" s="9"/>
      <c r="E42" s="9"/>
      <c r="F42" s="98"/>
      <c r="G42" s="98"/>
      <c r="H42" s="98"/>
      <c r="I42" s="98"/>
      <c r="J42" s="98"/>
      <c r="K42" s="55"/>
      <c r="L42" s="55"/>
      <c r="M42" s="55"/>
      <c r="N42" s="55"/>
      <c r="O42" s="55"/>
      <c r="P42" s="55"/>
      <c r="Q42" s="55"/>
      <c r="R42" s="55"/>
      <c r="S42" s="55"/>
      <c r="T42" s="55"/>
      <c r="U42" s="55"/>
      <c r="V42" s="55"/>
      <c r="W42" s="55"/>
      <c r="X42" s="55"/>
      <c r="Y42" s="55"/>
      <c r="Z42" s="55"/>
      <c r="AA42" s="55"/>
      <c r="AB42" s="55"/>
      <c r="AC42" s="55"/>
      <c r="AD42" s="55"/>
      <c r="AF42" s="106"/>
      <c r="AG42" s="4"/>
      <c r="AH42" s="4"/>
      <c r="AI42" s="107"/>
      <c r="AJ42" s="107"/>
      <c r="AK42" s="107"/>
      <c r="AL42" s="107"/>
      <c r="AM42" s="107"/>
      <c r="AN42" s="108"/>
    </row>
    <row r="43" spans="1:40" x14ac:dyDescent="0.15">
      <c r="B43" s="113"/>
      <c r="C43" s="9"/>
      <c r="D43" s="9"/>
      <c r="E43" s="9"/>
      <c r="F43" s="98"/>
      <c r="G43" s="98"/>
      <c r="H43" s="98"/>
      <c r="I43" s="98"/>
      <c r="J43" s="98"/>
      <c r="K43" s="55"/>
      <c r="L43" s="55"/>
      <c r="M43" s="55"/>
      <c r="N43" s="55"/>
      <c r="O43" s="55"/>
      <c r="P43" s="55"/>
      <c r="Q43" s="55"/>
      <c r="R43" s="55"/>
      <c r="S43" s="55"/>
      <c r="T43" s="55"/>
      <c r="U43" s="55"/>
      <c r="V43" s="55"/>
      <c r="W43" s="55"/>
      <c r="X43" s="55"/>
      <c r="Y43" s="55"/>
      <c r="Z43" s="55"/>
      <c r="AA43" s="55"/>
      <c r="AB43" s="55"/>
      <c r="AC43" s="55"/>
      <c r="AD43" s="55"/>
      <c r="AF43" s="106"/>
      <c r="AG43" s="4"/>
      <c r="AH43" s="4"/>
      <c r="AI43" s="107"/>
      <c r="AJ43" s="107"/>
      <c r="AK43" s="107"/>
      <c r="AL43" s="107"/>
      <c r="AM43" s="107"/>
      <c r="AN43" s="108"/>
    </row>
    <row r="44" spans="1:40" x14ac:dyDescent="0.15">
      <c r="B44" s="113"/>
      <c r="C44" s="9"/>
      <c r="D44" s="9"/>
      <c r="E44" s="9"/>
      <c r="F44" s="98"/>
      <c r="G44" s="98"/>
      <c r="H44" s="98"/>
      <c r="I44" s="98"/>
      <c r="J44" s="98"/>
      <c r="K44" s="55"/>
      <c r="L44" s="55"/>
      <c r="M44" s="55"/>
      <c r="N44" s="55"/>
      <c r="O44" s="55"/>
      <c r="P44" s="55"/>
      <c r="Q44" s="55"/>
      <c r="R44" s="55"/>
      <c r="S44" s="55"/>
      <c r="T44" s="55"/>
      <c r="U44" s="55"/>
      <c r="V44" s="55"/>
      <c r="W44" s="55"/>
      <c r="X44" s="55"/>
      <c r="Y44" s="55"/>
      <c r="Z44" s="55"/>
      <c r="AA44" s="55"/>
      <c r="AB44" s="55"/>
      <c r="AC44" s="55"/>
      <c r="AD44" s="55"/>
      <c r="AF44" s="106"/>
      <c r="AG44" s="4"/>
      <c r="AH44" s="4"/>
      <c r="AI44" s="107"/>
      <c r="AJ44" s="107"/>
      <c r="AK44" s="107"/>
      <c r="AL44" s="107"/>
      <c r="AM44" s="107"/>
      <c r="AN44" s="108"/>
    </row>
    <row r="45" spans="1:40" ht="15" thickBot="1" x14ac:dyDescent="0.2">
      <c r="B45" s="113"/>
      <c r="C45" s="9"/>
      <c r="D45" s="9"/>
      <c r="E45" s="9"/>
      <c r="F45" s="98"/>
      <c r="G45" s="98"/>
      <c r="H45" s="98"/>
      <c r="I45" s="98"/>
      <c r="J45" s="98"/>
      <c r="K45" s="55"/>
      <c r="L45" s="55"/>
      <c r="M45" s="55"/>
      <c r="N45" s="55"/>
      <c r="O45" s="55"/>
      <c r="P45" s="55"/>
      <c r="Q45" s="55"/>
      <c r="R45" s="55"/>
      <c r="S45" s="55"/>
      <c r="T45" s="55"/>
      <c r="U45" s="55"/>
      <c r="V45" s="55"/>
      <c r="W45" s="55"/>
      <c r="X45" s="55"/>
      <c r="Y45" s="55"/>
      <c r="Z45" s="55"/>
      <c r="AA45" s="55"/>
      <c r="AB45" s="55"/>
      <c r="AC45" s="55"/>
      <c r="AD45" s="55"/>
      <c r="AF45" s="109"/>
      <c r="AG45" s="110"/>
      <c r="AH45" s="110"/>
      <c r="AI45" s="111"/>
      <c r="AJ45" s="111"/>
      <c r="AK45" s="111"/>
      <c r="AL45" s="111"/>
      <c r="AM45" s="111"/>
      <c r="AN45" s="112"/>
    </row>
    <row r="46" spans="1:40" x14ac:dyDescent="0.15">
      <c r="B46" s="113"/>
      <c r="C46" s="9"/>
      <c r="D46" s="9"/>
      <c r="E46" s="9"/>
      <c r="F46" s="98"/>
      <c r="G46" s="98"/>
      <c r="H46" s="98"/>
      <c r="I46" s="98"/>
      <c r="J46" s="98"/>
      <c r="K46" s="55"/>
      <c r="L46" s="55"/>
      <c r="M46" s="55"/>
      <c r="N46" s="55"/>
      <c r="O46" s="55"/>
      <c r="P46" s="55"/>
      <c r="Q46" s="55"/>
      <c r="R46" s="55"/>
      <c r="S46" s="55"/>
      <c r="T46" s="55"/>
      <c r="U46" s="55"/>
      <c r="V46" s="55"/>
      <c r="W46" s="55"/>
      <c r="X46" s="55"/>
      <c r="Y46" s="55"/>
      <c r="Z46" s="55"/>
      <c r="AA46" s="55"/>
      <c r="AB46" s="55"/>
      <c r="AC46" s="55"/>
      <c r="AD46" s="55"/>
    </row>
    <row r="47" spans="1:40" ht="15" thickBot="1" x14ac:dyDescent="0.2">
      <c r="B47" s="113"/>
      <c r="C47" s="9"/>
      <c r="D47" s="9"/>
      <c r="E47" s="9"/>
      <c r="F47" s="98"/>
      <c r="G47" s="98"/>
      <c r="H47" s="98"/>
      <c r="I47" s="98"/>
      <c r="J47" s="98"/>
      <c r="K47" s="55"/>
      <c r="L47" s="55"/>
      <c r="M47" s="55"/>
      <c r="N47" s="55"/>
      <c r="O47" s="55"/>
      <c r="P47" s="55"/>
      <c r="Q47" s="55"/>
      <c r="R47" s="55"/>
      <c r="S47" s="55"/>
      <c r="T47" s="55"/>
      <c r="U47" s="55"/>
      <c r="V47" s="55"/>
      <c r="W47" s="55"/>
      <c r="X47" s="55"/>
      <c r="Y47" s="55"/>
      <c r="Z47" s="55"/>
      <c r="AA47" s="55"/>
      <c r="AB47" s="55"/>
      <c r="AC47" s="55"/>
      <c r="AD47" s="55"/>
      <c r="AF47" s="99" t="s">
        <v>538</v>
      </c>
      <c r="AG47" s="23"/>
      <c r="AH47" s="9" t="s">
        <v>542</v>
      </c>
      <c r="AI47" s="9" t="s">
        <v>569</v>
      </c>
      <c r="AJ47" s="23"/>
      <c r="AK47" s="23"/>
      <c r="AL47" s="23"/>
      <c r="AM47" s="23"/>
      <c r="AN47" s="23"/>
    </row>
    <row r="48" spans="1:40" x14ac:dyDescent="0.15">
      <c r="B48" s="113"/>
      <c r="C48" s="9"/>
      <c r="D48" s="9"/>
      <c r="E48" s="9"/>
      <c r="F48" s="98"/>
      <c r="G48" s="98"/>
      <c r="H48" s="98"/>
      <c r="I48" s="98"/>
      <c r="J48" s="98"/>
      <c r="K48" s="55"/>
      <c r="L48" s="55"/>
      <c r="M48" s="55"/>
      <c r="N48" s="55"/>
      <c r="O48" s="55"/>
      <c r="P48" s="55"/>
      <c r="Q48" s="55"/>
      <c r="R48" s="55"/>
      <c r="S48" s="55"/>
      <c r="T48" s="55"/>
      <c r="U48" s="55"/>
      <c r="V48" s="55"/>
      <c r="W48" s="55"/>
      <c r="X48" s="55"/>
      <c r="Y48" s="55"/>
      <c r="Z48" s="55"/>
      <c r="AA48" s="55"/>
      <c r="AB48" s="55"/>
      <c r="AC48" s="55"/>
      <c r="AD48" s="55"/>
      <c r="AF48" s="1442" t="s">
        <v>15</v>
      </c>
      <c r="AG48" s="1448" t="s">
        <v>16</v>
      </c>
      <c r="AH48" s="1451" t="s">
        <v>17</v>
      </c>
      <c r="AI48" s="1438" t="s">
        <v>19</v>
      </c>
      <c r="AJ48" s="1454"/>
      <c r="AK48" s="1454"/>
      <c r="AL48" s="1454"/>
      <c r="AM48" s="1454"/>
      <c r="AN48" s="1455"/>
    </row>
    <row r="49" spans="2:40" x14ac:dyDescent="0.15">
      <c r="B49" s="113"/>
      <c r="C49" s="9"/>
      <c r="D49" s="9"/>
      <c r="E49" s="9"/>
      <c r="F49" s="98"/>
      <c r="G49" s="98"/>
      <c r="H49" s="98"/>
      <c r="I49" s="98"/>
      <c r="J49" s="98"/>
      <c r="K49" s="55"/>
      <c r="L49" s="55"/>
      <c r="M49" s="55"/>
      <c r="N49" s="55"/>
      <c r="O49" s="55"/>
      <c r="P49" s="55"/>
      <c r="Q49" s="55"/>
      <c r="R49" s="55"/>
      <c r="S49" s="55"/>
      <c r="T49" s="55"/>
      <c r="U49" s="55"/>
      <c r="V49" s="55"/>
      <c r="W49" s="55"/>
      <c r="X49" s="55"/>
      <c r="Y49" s="55"/>
      <c r="Z49" s="55"/>
      <c r="AA49" s="55"/>
      <c r="AB49" s="55"/>
      <c r="AC49" s="55"/>
      <c r="AD49" s="55"/>
      <c r="AF49" s="1443"/>
      <c r="AG49" s="1449"/>
      <c r="AH49" s="1452"/>
      <c r="AI49" s="733" t="s">
        <v>561</v>
      </c>
      <c r="AJ49" s="733" t="s">
        <v>562</v>
      </c>
      <c r="AK49" s="733" t="s">
        <v>563</v>
      </c>
      <c r="AL49" s="733" t="s">
        <v>564</v>
      </c>
      <c r="AM49" s="733" t="s">
        <v>565</v>
      </c>
      <c r="AN49" s="100" t="s">
        <v>566</v>
      </c>
    </row>
    <row r="50" spans="2:40" ht="15" thickBot="1" x14ac:dyDescent="0.2">
      <c r="B50" s="113"/>
      <c r="C50" s="9"/>
      <c r="D50" s="9"/>
      <c r="E50" s="9"/>
      <c r="F50" s="98"/>
      <c r="G50" s="98"/>
      <c r="H50" s="98"/>
      <c r="I50" s="98"/>
      <c r="J50" s="98"/>
      <c r="K50" s="55"/>
      <c r="L50" s="55"/>
      <c r="M50" s="55"/>
      <c r="N50" s="55"/>
      <c r="O50" s="55"/>
      <c r="P50" s="55"/>
      <c r="Q50" s="55"/>
      <c r="R50" s="55"/>
      <c r="S50" s="55"/>
      <c r="T50" s="55"/>
      <c r="U50" s="55"/>
      <c r="V50" s="55"/>
      <c r="W50" s="55"/>
      <c r="X50" s="55"/>
      <c r="Y50" s="55"/>
      <c r="Z50" s="55"/>
      <c r="AA50" s="55"/>
      <c r="AB50" s="55"/>
      <c r="AC50" s="55"/>
      <c r="AD50" s="55"/>
      <c r="AF50" s="101"/>
      <c r="AG50" s="1450"/>
      <c r="AH50" s="1453"/>
      <c r="AI50" s="734" t="s">
        <v>1</v>
      </c>
      <c r="AJ50" s="734" t="s">
        <v>3</v>
      </c>
      <c r="AK50" s="734" t="s">
        <v>2</v>
      </c>
      <c r="AL50" s="734" t="s">
        <v>4</v>
      </c>
      <c r="AM50" s="734" t="s">
        <v>244</v>
      </c>
      <c r="AN50" s="102" t="s">
        <v>20</v>
      </c>
    </row>
    <row r="51" spans="2:40" x14ac:dyDescent="0.15">
      <c r="B51" s="113"/>
      <c r="C51" s="9"/>
      <c r="D51" s="9"/>
      <c r="E51" s="9"/>
      <c r="F51" s="98"/>
      <c r="G51" s="98"/>
      <c r="H51" s="98"/>
      <c r="I51" s="98"/>
      <c r="J51" s="98"/>
      <c r="K51" s="55"/>
      <c r="L51" s="55"/>
      <c r="M51" s="55"/>
      <c r="N51" s="55"/>
      <c r="O51" s="55"/>
      <c r="P51" s="55"/>
      <c r="Q51" s="55"/>
      <c r="R51" s="55"/>
      <c r="S51" s="55"/>
      <c r="T51" s="55"/>
      <c r="U51" s="55"/>
      <c r="V51" s="55"/>
      <c r="W51" s="55"/>
      <c r="X51" s="55"/>
      <c r="Y51" s="55"/>
      <c r="Z51" s="55"/>
      <c r="AA51" s="55"/>
      <c r="AB51" s="55"/>
      <c r="AC51" s="55"/>
      <c r="AD51" s="55"/>
      <c r="AF51" s="103" t="s">
        <v>23</v>
      </c>
      <c r="AG51" s="4" t="s">
        <v>542</v>
      </c>
      <c r="AH51" s="9" t="s">
        <v>569</v>
      </c>
      <c r="AI51" s="104">
        <v>18</v>
      </c>
      <c r="AJ51" s="104">
        <v>13.8</v>
      </c>
      <c r="AK51" s="104">
        <v>22.2</v>
      </c>
      <c r="AL51" s="104">
        <v>1.8</v>
      </c>
      <c r="AM51" s="104">
        <v>6</v>
      </c>
      <c r="AN51" s="105">
        <v>6860</v>
      </c>
    </row>
    <row r="52" spans="2:40" x14ac:dyDescent="0.15">
      <c r="B52" s="113"/>
      <c r="C52" s="9"/>
      <c r="D52" s="9"/>
      <c r="E52" s="9"/>
      <c r="F52" s="98"/>
      <c r="G52" s="98"/>
      <c r="H52" s="98"/>
      <c r="I52" s="98"/>
      <c r="J52" s="98"/>
      <c r="K52" s="55"/>
      <c r="L52" s="55"/>
      <c r="M52" s="55"/>
      <c r="N52" s="55"/>
      <c r="O52" s="55"/>
      <c r="P52" s="55"/>
      <c r="Q52" s="55"/>
      <c r="R52" s="55"/>
      <c r="S52" s="55"/>
      <c r="T52" s="55"/>
      <c r="U52" s="55"/>
      <c r="V52" s="55"/>
      <c r="W52" s="55"/>
      <c r="X52" s="55"/>
      <c r="Y52" s="55"/>
      <c r="Z52" s="55"/>
      <c r="AA52" s="55"/>
      <c r="AB52" s="55"/>
      <c r="AC52" s="55"/>
      <c r="AD52" s="55"/>
      <c r="AF52" s="106" t="s">
        <v>24</v>
      </c>
      <c r="AG52" s="4" t="s">
        <v>542</v>
      </c>
      <c r="AH52" s="9" t="s">
        <v>569</v>
      </c>
      <c r="AI52" s="107">
        <v>23.4</v>
      </c>
      <c r="AJ52" s="107">
        <v>17.399999999999999</v>
      </c>
      <c r="AK52" s="107">
        <v>28.8</v>
      </c>
      <c r="AL52" s="107">
        <v>2.1</v>
      </c>
      <c r="AM52" s="107">
        <v>7.8</v>
      </c>
      <c r="AN52" s="108">
        <v>8820</v>
      </c>
    </row>
    <row r="53" spans="2:40" x14ac:dyDescent="0.15">
      <c r="B53" s="113"/>
      <c r="C53" s="9"/>
      <c r="D53" s="9"/>
      <c r="E53" s="9"/>
      <c r="F53" s="98"/>
      <c r="G53" s="98"/>
      <c r="H53" s="98"/>
      <c r="I53" s="98"/>
      <c r="J53" s="98"/>
      <c r="K53" s="55"/>
      <c r="L53" s="55"/>
      <c r="M53" s="55"/>
      <c r="N53" s="55"/>
      <c r="O53" s="55"/>
      <c r="P53" s="55"/>
      <c r="Q53" s="55"/>
      <c r="R53" s="55"/>
      <c r="S53" s="55"/>
      <c r="T53" s="55"/>
      <c r="U53" s="55"/>
      <c r="V53" s="55"/>
      <c r="W53" s="55"/>
      <c r="X53" s="55"/>
      <c r="Y53" s="55"/>
      <c r="Z53" s="55"/>
      <c r="AA53" s="55"/>
      <c r="AB53" s="55"/>
      <c r="AC53" s="55"/>
      <c r="AD53" s="55"/>
      <c r="AF53" s="106" t="s">
        <v>25</v>
      </c>
      <c r="AG53" s="4" t="s">
        <v>542</v>
      </c>
      <c r="AH53" s="9" t="s">
        <v>569</v>
      </c>
      <c r="AI53" s="107">
        <v>13.8</v>
      </c>
      <c r="AJ53" s="107">
        <v>10.8</v>
      </c>
      <c r="AK53" s="107">
        <v>17.399999999999999</v>
      </c>
      <c r="AL53" s="107">
        <v>2.4</v>
      </c>
      <c r="AM53" s="107">
        <v>9</v>
      </c>
      <c r="AN53" s="108">
        <v>9800</v>
      </c>
    </row>
    <row r="54" spans="2:40" hidden="1" x14ac:dyDescent="0.15">
      <c r="B54" s="113"/>
      <c r="C54" s="770" t="s">
        <v>166</v>
      </c>
      <c r="D54" s="771"/>
      <c r="E54" s="771"/>
      <c r="F54" s="772"/>
      <c r="G54" s="769"/>
      <c r="H54" s="769"/>
      <c r="I54" s="769"/>
      <c r="J54" s="769"/>
      <c r="K54" s="500"/>
      <c r="L54" s="55"/>
      <c r="M54" s="55"/>
      <c r="N54" s="55"/>
      <c r="O54" s="55"/>
      <c r="P54" s="55"/>
      <c r="Q54" s="55"/>
      <c r="R54" s="55"/>
      <c r="S54" s="55"/>
      <c r="T54" s="55"/>
      <c r="U54" s="55"/>
      <c r="V54" s="55"/>
      <c r="W54" s="55"/>
      <c r="X54" s="55"/>
      <c r="Y54" s="55"/>
      <c r="Z54" s="55"/>
      <c r="AA54" s="55"/>
      <c r="AB54" s="55"/>
      <c r="AC54" s="55"/>
      <c r="AD54" s="55"/>
      <c r="AF54" s="106" t="s">
        <v>26</v>
      </c>
      <c r="AG54" s="4" t="s">
        <v>542</v>
      </c>
      <c r="AH54" s="9" t="s">
        <v>569</v>
      </c>
      <c r="AI54" s="107">
        <v>11.4</v>
      </c>
      <c r="AJ54" s="107">
        <v>9</v>
      </c>
      <c r="AK54" s="107">
        <v>14.4</v>
      </c>
      <c r="AL54" s="107">
        <v>2.4</v>
      </c>
      <c r="AM54" s="107">
        <v>9</v>
      </c>
      <c r="AN54" s="108">
        <v>7840</v>
      </c>
    </row>
    <row r="55" spans="2:40" hidden="1" x14ac:dyDescent="0.15">
      <c r="B55" s="113"/>
      <c r="C55" s="773" t="s">
        <v>167</v>
      </c>
      <c r="D55" s="773" t="s">
        <v>168</v>
      </c>
      <c r="E55" s="773" t="s">
        <v>170</v>
      </c>
      <c r="F55" s="773" t="s">
        <v>169</v>
      </c>
      <c r="G55" s="770" t="s">
        <v>166</v>
      </c>
      <c r="H55" s="774"/>
      <c r="I55" s="775" t="s">
        <v>168</v>
      </c>
      <c r="J55" s="776" t="s">
        <v>657</v>
      </c>
      <c r="K55" s="496" t="s">
        <v>658</v>
      </c>
      <c r="L55" s="55"/>
      <c r="M55" s="55"/>
      <c r="N55" s="55"/>
      <c r="O55" s="55"/>
      <c r="P55" s="55"/>
      <c r="Q55" s="55"/>
      <c r="R55" s="55"/>
      <c r="S55" s="55"/>
      <c r="T55" s="55"/>
      <c r="U55" s="55"/>
      <c r="V55" s="55"/>
      <c r="W55" s="55"/>
      <c r="X55" s="55"/>
      <c r="Y55" s="55"/>
      <c r="Z55" s="55"/>
      <c r="AA55" s="55"/>
      <c r="AB55" s="55"/>
      <c r="AC55" s="55"/>
      <c r="AD55" s="55"/>
      <c r="AF55" s="106" t="s">
        <v>27</v>
      </c>
      <c r="AG55" s="4" t="s">
        <v>542</v>
      </c>
      <c r="AH55" s="9" t="s">
        <v>569</v>
      </c>
      <c r="AI55" s="107">
        <v>11.4</v>
      </c>
      <c r="AJ55" s="107">
        <v>9</v>
      </c>
      <c r="AK55" s="107">
        <v>14.4</v>
      </c>
      <c r="AL55" s="107">
        <v>2.4</v>
      </c>
      <c r="AM55" s="107">
        <v>9</v>
      </c>
      <c r="AN55" s="108">
        <v>7840</v>
      </c>
    </row>
    <row r="56" spans="2:40" hidden="1" x14ac:dyDescent="0.15">
      <c r="B56" s="113"/>
      <c r="C56" s="773"/>
      <c r="D56" s="773" t="s">
        <v>659</v>
      </c>
      <c r="E56" s="773" t="s">
        <v>660</v>
      </c>
      <c r="F56" s="773" t="s">
        <v>660</v>
      </c>
      <c r="G56" s="776" t="s">
        <v>661</v>
      </c>
      <c r="H56" s="775"/>
      <c r="I56" s="777" t="s">
        <v>662</v>
      </c>
      <c r="J56" s="777" t="s">
        <v>663</v>
      </c>
      <c r="K56" s="778" t="s">
        <v>664</v>
      </c>
      <c r="L56" s="55"/>
      <c r="M56" s="55"/>
      <c r="N56" s="55"/>
      <c r="O56" s="55"/>
      <c r="P56" s="55"/>
      <c r="Q56" s="55"/>
      <c r="R56" s="55"/>
      <c r="S56" s="55"/>
      <c r="T56" s="55"/>
      <c r="U56" s="55"/>
      <c r="V56" s="55"/>
      <c r="W56" s="55"/>
      <c r="X56" s="55"/>
      <c r="Y56" s="55"/>
      <c r="Z56" s="55"/>
      <c r="AA56" s="55"/>
      <c r="AB56" s="55"/>
      <c r="AC56" s="55"/>
      <c r="AD56" s="55"/>
      <c r="AF56" s="106" t="s">
        <v>28</v>
      </c>
      <c r="AG56" s="4" t="s">
        <v>542</v>
      </c>
      <c r="AH56" s="9" t="s">
        <v>569</v>
      </c>
      <c r="AI56" s="107">
        <v>18.600000000000001</v>
      </c>
      <c r="AJ56" s="107">
        <v>13.8</v>
      </c>
      <c r="AK56" s="107">
        <v>23.4</v>
      </c>
      <c r="AL56" s="107">
        <v>2.1</v>
      </c>
      <c r="AM56" s="107">
        <v>7.8</v>
      </c>
      <c r="AN56" s="108">
        <v>7840</v>
      </c>
    </row>
    <row r="57" spans="2:40" hidden="1" x14ac:dyDescent="0.15">
      <c r="B57" s="113"/>
      <c r="C57" s="773" t="s">
        <v>665</v>
      </c>
      <c r="D57" s="773" t="s">
        <v>666</v>
      </c>
      <c r="E57" s="773" t="s">
        <v>667</v>
      </c>
      <c r="F57" s="773" t="s">
        <v>668</v>
      </c>
      <c r="G57" s="776" t="s">
        <v>669</v>
      </c>
      <c r="H57" s="775"/>
      <c r="I57" s="777" t="s">
        <v>670</v>
      </c>
      <c r="J57" s="777" t="s">
        <v>671</v>
      </c>
      <c r="K57" s="778" t="s">
        <v>672</v>
      </c>
      <c r="L57" s="55"/>
      <c r="M57" s="55"/>
      <c r="N57" s="55"/>
      <c r="O57" s="55"/>
      <c r="P57" s="55"/>
      <c r="Q57" s="55"/>
      <c r="R57" s="55"/>
      <c r="S57" s="55"/>
      <c r="T57" s="55"/>
      <c r="U57" s="55"/>
      <c r="V57" s="55"/>
      <c r="W57" s="55"/>
      <c r="X57" s="55"/>
      <c r="Y57" s="55"/>
      <c r="Z57" s="55"/>
      <c r="AA57" s="55"/>
      <c r="AB57" s="55"/>
      <c r="AC57" s="55"/>
      <c r="AD57" s="55"/>
      <c r="AF57" s="106" t="s">
        <v>556</v>
      </c>
      <c r="AG57" s="4" t="s">
        <v>542</v>
      </c>
      <c r="AH57" s="9" t="s">
        <v>569</v>
      </c>
      <c r="AI57" s="107">
        <v>23.4</v>
      </c>
      <c r="AJ57" s="107">
        <v>18</v>
      </c>
      <c r="AK57" s="107">
        <v>29.4</v>
      </c>
      <c r="AL57" s="107">
        <v>2.1</v>
      </c>
      <c r="AM57" s="107">
        <v>7.8</v>
      </c>
      <c r="AN57" s="108">
        <v>8820</v>
      </c>
    </row>
    <row r="58" spans="2:40" hidden="1" x14ac:dyDescent="0.15">
      <c r="B58" s="113"/>
      <c r="C58" s="1465" t="s">
        <v>673</v>
      </c>
      <c r="D58" s="773" t="s">
        <v>674</v>
      </c>
      <c r="E58" s="773" t="s">
        <v>675</v>
      </c>
      <c r="F58" s="773" t="s">
        <v>674</v>
      </c>
      <c r="G58" s="769"/>
      <c r="H58" s="769"/>
      <c r="I58" s="769"/>
      <c r="J58" s="769"/>
      <c r="K58" s="500"/>
      <c r="L58" s="55"/>
      <c r="M58" s="55"/>
      <c r="N58" s="55"/>
      <c r="O58" s="55"/>
      <c r="P58" s="55"/>
      <c r="Q58" s="55"/>
      <c r="R58" s="55"/>
      <c r="S58" s="55"/>
      <c r="T58" s="55"/>
      <c r="U58" s="55"/>
      <c r="V58" s="55"/>
      <c r="W58" s="55"/>
      <c r="X58" s="55"/>
      <c r="Y58" s="55"/>
      <c r="Z58" s="55"/>
      <c r="AA58" s="55"/>
      <c r="AB58" s="55"/>
      <c r="AC58" s="55"/>
      <c r="AD58" s="55"/>
      <c r="AF58" s="106" t="s">
        <v>30</v>
      </c>
      <c r="AG58" s="4" t="s">
        <v>542</v>
      </c>
      <c r="AH58" s="9" t="s">
        <v>569</v>
      </c>
      <c r="AI58" s="107">
        <v>17.399999999999999</v>
      </c>
      <c r="AJ58" s="107">
        <v>13.2</v>
      </c>
      <c r="AK58" s="107">
        <v>21.6</v>
      </c>
      <c r="AL58" s="107">
        <v>2.1</v>
      </c>
      <c r="AM58" s="107">
        <v>6</v>
      </c>
      <c r="AN58" s="108">
        <v>7840</v>
      </c>
    </row>
    <row r="59" spans="2:40" hidden="1" x14ac:dyDescent="0.15">
      <c r="B59" s="113"/>
      <c r="C59" s="1157"/>
      <c r="D59" s="773" t="s">
        <v>676</v>
      </c>
      <c r="E59" s="773" t="s">
        <v>675</v>
      </c>
      <c r="F59" s="779"/>
      <c r="G59" s="769"/>
      <c r="H59" s="769"/>
      <c r="I59" s="769"/>
      <c r="J59" s="769"/>
      <c r="K59" s="500"/>
      <c r="L59" s="55"/>
      <c r="M59" s="55"/>
      <c r="N59" s="55"/>
      <c r="O59" s="55"/>
      <c r="P59" s="55"/>
      <c r="Q59" s="55"/>
      <c r="R59" s="55"/>
      <c r="S59" s="55"/>
      <c r="T59" s="55"/>
      <c r="U59" s="55"/>
      <c r="V59" s="55"/>
      <c r="W59" s="55"/>
      <c r="X59" s="55"/>
      <c r="Y59" s="55"/>
      <c r="Z59" s="55"/>
      <c r="AA59" s="55"/>
      <c r="AB59" s="55"/>
      <c r="AC59" s="55"/>
      <c r="AD59" s="55"/>
      <c r="AF59" s="106" t="s">
        <v>31</v>
      </c>
      <c r="AG59" s="4" t="s">
        <v>542</v>
      </c>
      <c r="AH59" s="9" t="s">
        <v>569</v>
      </c>
      <c r="AI59" s="107">
        <v>17.399999999999999</v>
      </c>
      <c r="AJ59" s="107">
        <v>13.2</v>
      </c>
      <c r="AK59" s="107">
        <v>21.6</v>
      </c>
      <c r="AL59" s="107">
        <v>2.1</v>
      </c>
      <c r="AM59" s="107">
        <v>6</v>
      </c>
      <c r="AN59" s="108">
        <v>7840</v>
      </c>
    </row>
    <row r="60" spans="2:40" hidden="1" x14ac:dyDescent="0.15">
      <c r="B60" s="113"/>
      <c r="C60" s="773" t="s">
        <v>677</v>
      </c>
      <c r="D60" s="773" t="s">
        <v>678</v>
      </c>
      <c r="E60" s="773" t="s">
        <v>679</v>
      </c>
      <c r="F60" s="773" t="s">
        <v>678</v>
      </c>
      <c r="G60" s="769"/>
      <c r="H60" s="769"/>
      <c r="I60" s="769"/>
      <c r="J60" s="769"/>
      <c r="K60" s="500"/>
      <c r="L60" s="55"/>
      <c r="M60" s="55"/>
      <c r="N60" s="55"/>
      <c r="O60" s="55"/>
      <c r="P60" s="55"/>
      <c r="Q60" s="55"/>
      <c r="R60" s="55"/>
      <c r="S60" s="55"/>
      <c r="T60" s="55"/>
      <c r="U60" s="55"/>
      <c r="V60" s="55"/>
      <c r="W60" s="55"/>
      <c r="X60" s="55"/>
      <c r="Y60" s="55"/>
      <c r="Z60" s="55"/>
      <c r="AA60" s="55"/>
      <c r="AB60" s="55"/>
      <c r="AC60" s="55"/>
      <c r="AD60" s="55"/>
      <c r="AF60" s="106" t="s">
        <v>557</v>
      </c>
      <c r="AG60" s="4" t="s">
        <v>542</v>
      </c>
      <c r="AH60" s="9" t="s">
        <v>569</v>
      </c>
      <c r="AI60" s="107">
        <v>13.8</v>
      </c>
      <c r="AJ60" s="107">
        <v>10.8</v>
      </c>
      <c r="AK60" s="107">
        <v>17.399999999999999</v>
      </c>
      <c r="AL60" s="107">
        <v>1.8</v>
      </c>
      <c r="AM60" s="107">
        <v>6</v>
      </c>
      <c r="AN60" s="108">
        <v>6860</v>
      </c>
    </row>
    <row r="61" spans="2:40" hidden="1" x14ac:dyDescent="0.15">
      <c r="B61" s="113"/>
      <c r="C61" s="1465" t="s">
        <v>680</v>
      </c>
      <c r="D61" s="773" t="s">
        <v>681</v>
      </c>
      <c r="E61" s="773" t="s">
        <v>682</v>
      </c>
      <c r="F61" s="773" t="s">
        <v>682</v>
      </c>
      <c r="G61" s="769"/>
      <c r="H61" s="769"/>
      <c r="I61" s="769"/>
      <c r="J61" s="769"/>
      <c r="K61" s="500"/>
      <c r="L61" s="55"/>
      <c r="M61" s="55"/>
      <c r="N61" s="55"/>
      <c r="O61" s="55"/>
      <c r="P61" s="55"/>
      <c r="Q61" s="55"/>
      <c r="R61" s="55"/>
      <c r="S61" s="55"/>
      <c r="T61" s="55"/>
      <c r="U61" s="55"/>
      <c r="V61" s="55"/>
      <c r="W61" s="55"/>
      <c r="X61" s="55"/>
      <c r="Y61" s="55"/>
      <c r="Z61" s="55"/>
      <c r="AA61" s="55"/>
      <c r="AB61" s="55"/>
      <c r="AC61" s="55"/>
      <c r="AD61" s="55"/>
      <c r="AF61" s="106" t="s">
        <v>33</v>
      </c>
      <c r="AG61" s="4" t="s">
        <v>542</v>
      </c>
      <c r="AH61" s="9" t="s">
        <v>569</v>
      </c>
      <c r="AI61" s="107">
        <v>13.8</v>
      </c>
      <c r="AJ61" s="107">
        <v>10.8</v>
      </c>
      <c r="AK61" s="107">
        <v>17.399999999999999</v>
      </c>
      <c r="AL61" s="107">
        <v>1.8</v>
      </c>
      <c r="AM61" s="107">
        <v>6</v>
      </c>
      <c r="AN61" s="108">
        <v>6860</v>
      </c>
    </row>
    <row r="62" spans="2:40" hidden="1" x14ac:dyDescent="0.15">
      <c r="B62" s="113"/>
      <c r="C62" s="1157"/>
      <c r="D62" s="773" t="s">
        <v>683</v>
      </c>
      <c r="E62" s="780"/>
      <c r="F62" s="779"/>
      <c r="G62" s="769"/>
      <c r="H62" s="769"/>
      <c r="I62" s="769"/>
      <c r="J62" s="769"/>
      <c r="K62" s="500"/>
      <c r="L62" s="55"/>
      <c r="M62" s="55"/>
      <c r="N62" s="55"/>
      <c r="O62" s="55"/>
      <c r="P62" s="55"/>
      <c r="Q62" s="55"/>
      <c r="R62" s="55"/>
      <c r="S62" s="55"/>
      <c r="T62" s="55"/>
      <c r="U62" s="55"/>
      <c r="V62" s="55"/>
      <c r="W62" s="55"/>
      <c r="X62" s="55"/>
      <c r="Y62" s="55"/>
      <c r="Z62" s="55"/>
      <c r="AA62" s="55"/>
      <c r="AB62" s="55"/>
      <c r="AC62" s="55"/>
      <c r="AD62" s="55"/>
      <c r="AF62" s="106" t="s">
        <v>34</v>
      </c>
      <c r="AG62" s="4" t="s">
        <v>542</v>
      </c>
      <c r="AH62" s="9" t="s">
        <v>569</v>
      </c>
      <c r="AI62" s="107">
        <v>13.8</v>
      </c>
      <c r="AJ62" s="107">
        <v>10.8</v>
      </c>
      <c r="AK62" s="107">
        <v>17.399999999999999</v>
      </c>
      <c r="AL62" s="107">
        <v>1.8</v>
      </c>
      <c r="AM62" s="107">
        <v>6</v>
      </c>
      <c r="AN62" s="108">
        <v>6860</v>
      </c>
    </row>
    <row r="63" spans="2:40" hidden="1" x14ac:dyDescent="0.15">
      <c r="B63" s="113"/>
      <c r="C63" s="1465" t="s">
        <v>684</v>
      </c>
      <c r="D63" s="773" t="s">
        <v>685</v>
      </c>
      <c r="E63" s="773" t="s">
        <v>686</v>
      </c>
      <c r="F63" s="773" t="s">
        <v>685</v>
      </c>
      <c r="G63" s="769"/>
      <c r="H63" s="769"/>
      <c r="I63" s="769"/>
      <c r="J63" s="769"/>
      <c r="K63" s="500"/>
      <c r="L63" s="55"/>
      <c r="M63" s="55"/>
      <c r="N63" s="55"/>
      <c r="O63" s="55"/>
      <c r="P63" s="55"/>
      <c r="Q63" s="55"/>
      <c r="R63" s="55"/>
      <c r="S63" s="55"/>
      <c r="T63" s="55"/>
      <c r="U63" s="55"/>
      <c r="V63" s="55"/>
      <c r="W63" s="55"/>
      <c r="X63" s="55"/>
      <c r="Y63" s="55"/>
      <c r="Z63" s="55"/>
      <c r="AA63" s="55"/>
      <c r="AB63" s="55"/>
      <c r="AC63" s="55"/>
      <c r="AD63" s="55"/>
      <c r="AF63" s="106"/>
      <c r="AG63" s="4"/>
      <c r="AH63" s="4"/>
      <c r="AI63" s="107"/>
      <c r="AJ63" s="107"/>
      <c r="AK63" s="107"/>
      <c r="AL63" s="107"/>
      <c r="AM63" s="107"/>
      <c r="AN63" s="108"/>
    </row>
    <row r="64" spans="2:40" hidden="1" x14ac:dyDescent="0.15">
      <c r="B64" s="113"/>
      <c r="C64" s="1157"/>
      <c r="D64" s="773" t="s">
        <v>687</v>
      </c>
      <c r="E64" s="773" t="s">
        <v>685</v>
      </c>
      <c r="F64" s="256"/>
      <c r="G64" s="769"/>
      <c r="H64" s="769"/>
      <c r="I64" s="769"/>
      <c r="J64" s="769"/>
      <c r="K64" s="500"/>
      <c r="L64" s="55"/>
      <c r="M64" s="55"/>
      <c r="N64" s="55"/>
      <c r="O64" s="55"/>
      <c r="P64" s="55"/>
      <c r="Q64" s="55"/>
      <c r="R64" s="55"/>
      <c r="S64" s="55"/>
      <c r="T64" s="55"/>
      <c r="U64" s="55"/>
      <c r="V64" s="55"/>
      <c r="W64" s="55"/>
      <c r="X64" s="55"/>
      <c r="Y64" s="55"/>
      <c r="Z64" s="55"/>
      <c r="AA64" s="55"/>
      <c r="AB64" s="55"/>
      <c r="AC64" s="55"/>
      <c r="AD64" s="55"/>
      <c r="AF64" s="106"/>
      <c r="AG64" s="4"/>
      <c r="AH64" s="4"/>
      <c r="AI64" s="107"/>
      <c r="AJ64" s="107"/>
      <c r="AK64" s="107"/>
      <c r="AL64" s="107"/>
      <c r="AM64" s="107"/>
      <c r="AN64" s="108"/>
    </row>
    <row r="65" spans="2:40" hidden="1" x14ac:dyDescent="0.15">
      <c r="B65" s="113"/>
      <c r="C65" s="1465" t="s">
        <v>688</v>
      </c>
      <c r="D65" s="773" t="s">
        <v>689</v>
      </c>
      <c r="E65" s="773" t="s">
        <v>690</v>
      </c>
      <c r="F65" s="773" t="s">
        <v>689</v>
      </c>
      <c r="G65" s="769"/>
      <c r="H65" s="769"/>
      <c r="I65" s="769"/>
      <c r="J65" s="769"/>
      <c r="K65" s="500"/>
      <c r="L65" s="55"/>
      <c r="M65" s="55"/>
      <c r="N65" s="55"/>
      <c r="O65" s="55"/>
      <c r="P65" s="55"/>
      <c r="Q65" s="55"/>
      <c r="R65" s="55"/>
      <c r="S65" s="55"/>
      <c r="T65" s="55"/>
      <c r="U65" s="55"/>
      <c r="V65" s="55"/>
      <c r="W65" s="55"/>
      <c r="X65" s="55"/>
      <c r="Y65" s="55"/>
      <c r="Z65" s="55"/>
      <c r="AA65" s="55"/>
      <c r="AB65" s="55"/>
      <c r="AC65" s="55"/>
      <c r="AD65" s="55"/>
      <c r="AF65" s="106"/>
      <c r="AG65" s="4"/>
      <c r="AH65" s="4"/>
      <c r="AI65" s="107"/>
      <c r="AJ65" s="107"/>
      <c r="AK65" s="107"/>
      <c r="AL65" s="107"/>
      <c r="AM65" s="107"/>
      <c r="AN65" s="108"/>
    </row>
    <row r="66" spans="2:40" hidden="1" x14ac:dyDescent="0.15">
      <c r="B66" s="113"/>
      <c r="C66" s="1157"/>
      <c r="D66" s="773" t="s">
        <v>691</v>
      </c>
      <c r="E66" s="773" t="s">
        <v>689</v>
      </c>
      <c r="F66" s="256"/>
      <c r="G66" s="769"/>
      <c r="H66" s="769"/>
      <c r="I66" s="769"/>
      <c r="J66" s="769"/>
      <c r="K66" s="500"/>
      <c r="L66" s="55"/>
      <c r="M66" s="55"/>
      <c r="N66" s="55"/>
      <c r="O66" s="55"/>
      <c r="P66" s="55"/>
      <c r="Q66" s="55"/>
      <c r="R66" s="55"/>
      <c r="S66" s="55"/>
      <c r="T66" s="55"/>
      <c r="U66" s="55"/>
      <c r="V66" s="55"/>
      <c r="W66" s="55"/>
      <c r="X66" s="55"/>
      <c r="Y66" s="55"/>
      <c r="Z66" s="55"/>
      <c r="AA66" s="55"/>
      <c r="AB66" s="55"/>
      <c r="AC66" s="55"/>
      <c r="AD66" s="55"/>
      <c r="AF66" s="106"/>
      <c r="AG66" s="4"/>
      <c r="AH66" s="4"/>
      <c r="AI66" s="107"/>
      <c r="AJ66" s="107"/>
      <c r="AK66" s="107"/>
      <c r="AL66" s="107"/>
      <c r="AM66" s="107"/>
      <c r="AN66" s="108"/>
    </row>
    <row r="67" spans="2:40" ht="15" hidden="1" thickBot="1" x14ac:dyDescent="0.2">
      <c r="B67" s="113"/>
      <c r="C67" s="1465" t="s">
        <v>692</v>
      </c>
      <c r="D67" s="773" t="s">
        <v>693</v>
      </c>
      <c r="E67" s="773" t="s">
        <v>694</v>
      </c>
      <c r="F67" s="773" t="s">
        <v>693</v>
      </c>
      <c r="G67" s="769"/>
      <c r="H67" s="769"/>
      <c r="I67" s="769"/>
      <c r="J67" s="769"/>
      <c r="K67" s="500"/>
      <c r="L67" s="55"/>
      <c r="M67" s="55"/>
      <c r="N67" s="55"/>
      <c r="O67" s="55"/>
      <c r="P67" s="55"/>
      <c r="Q67" s="55"/>
      <c r="R67" s="55"/>
      <c r="S67" s="55"/>
      <c r="T67" s="55"/>
      <c r="U67" s="55"/>
      <c r="V67" s="55"/>
      <c r="W67" s="55"/>
      <c r="X67" s="55"/>
      <c r="Y67" s="55"/>
      <c r="Z67" s="55"/>
      <c r="AA67" s="55"/>
      <c r="AB67" s="55"/>
      <c r="AC67" s="55"/>
      <c r="AD67" s="55"/>
      <c r="AF67" s="109"/>
      <c r="AG67" s="110"/>
      <c r="AH67" s="110"/>
      <c r="AI67" s="111"/>
      <c r="AJ67" s="111"/>
      <c r="AK67" s="111"/>
      <c r="AL67" s="111"/>
      <c r="AM67" s="111"/>
      <c r="AN67" s="112"/>
    </row>
    <row r="68" spans="2:40" hidden="1" x14ac:dyDescent="0.15">
      <c r="B68" s="113"/>
      <c r="C68" s="1157"/>
      <c r="D68" s="773" t="s">
        <v>695</v>
      </c>
      <c r="E68" s="773" t="s">
        <v>694</v>
      </c>
      <c r="F68" s="256"/>
      <c r="G68" s="769"/>
      <c r="H68" s="769"/>
      <c r="I68" s="769"/>
      <c r="J68" s="769"/>
      <c r="K68" s="500"/>
      <c r="L68" s="55"/>
      <c r="M68" s="55"/>
      <c r="N68" s="55"/>
      <c r="O68" s="55"/>
      <c r="P68" s="55"/>
      <c r="Q68" s="55"/>
      <c r="R68" s="55"/>
      <c r="S68" s="55"/>
      <c r="T68" s="55"/>
      <c r="U68" s="55"/>
      <c r="V68" s="55"/>
      <c r="W68" s="55"/>
      <c r="X68" s="55"/>
      <c r="Y68" s="55"/>
      <c r="Z68" s="55"/>
      <c r="AA68" s="55"/>
      <c r="AB68" s="55"/>
      <c r="AC68" s="55"/>
      <c r="AD68" s="55"/>
    </row>
    <row r="69" spans="2:40" ht="15" thickBot="1" x14ac:dyDescent="0.2">
      <c r="B69" s="113"/>
      <c r="C69" s="9"/>
      <c r="D69" s="9"/>
      <c r="E69" s="9"/>
      <c r="F69" s="98"/>
      <c r="G69" s="98"/>
      <c r="H69" s="98"/>
      <c r="I69" s="98"/>
      <c r="J69" s="98"/>
      <c r="K69" s="55"/>
      <c r="L69" s="55"/>
      <c r="M69" s="55"/>
      <c r="N69" s="55"/>
      <c r="O69" s="55"/>
      <c r="P69" s="55"/>
      <c r="Q69" s="55"/>
      <c r="R69" s="55"/>
      <c r="S69" s="55"/>
      <c r="T69" s="55"/>
      <c r="U69" s="55"/>
      <c r="V69" s="55"/>
      <c r="W69" s="55"/>
      <c r="X69" s="55"/>
      <c r="Y69" s="55"/>
      <c r="Z69" s="55"/>
      <c r="AA69" s="55"/>
      <c r="AB69" s="55"/>
      <c r="AC69" s="55"/>
      <c r="AD69" s="55"/>
      <c r="AF69" s="99" t="s">
        <v>538</v>
      </c>
      <c r="AG69" s="23"/>
      <c r="AH69" s="23" t="s">
        <v>570</v>
      </c>
      <c r="AI69" s="9" t="s">
        <v>543</v>
      </c>
      <c r="AJ69" s="23"/>
      <c r="AK69" s="23"/>
      <c r="AL69" s="23"/>
      <c r="AM69" s="23"/>
      <c r="AN69" s="23"/>
    </row>
    <row r="70" spans="2:40" x14ac:dyDescent="0.15">
      <c r="B70" s="113"/>
      <c r="C70" s="9"/>
      <c r="D70" s="9"/>
      <c r="E70" s="9"/>
      <c r="F70" s="98"/>
      <c r="G70" s="98"/>
      <c r="H70" s="98"/>
      <c r="I70" s="98"/>
      <c r="J70" s="98"/>
      <c r="K70" s="55"/>
      <c r="L70" s="55"/>
      <c r="M70" s="55"/>
      <c r="N70" s="55"/>
      <c r="O70" s="55"/>
      <c r="P70" s="55"/>
      <c r="Q70" s="55"/>
      <c r="R70" s="55"/>
      <c r="S70" s="55"/>
      <c r="T70" s="55"/>
      <c r="U70" s="55"/>
      <c r="V70" s="55"/>
      <c r="W70" s="55"/>
      <c r="X70" s="55"/>
      <c r="Y70" s="55"/>
      <c r="Z70" s="55"/>
      <c r="AA70" s="55"/>
      <c r="AB70" s="55"/>
      <c r="AC70" s="55"/>
      <c r="AD70" s="55"/>
      <c r="AF70" s="1442" t="s">
        <v>15</v>
      </c>
      <c r="AG70" s="1448" t="s">
        <v>16</v>
      </c>
      <c r="AH70" s="1451" t="s">
        <v>17</v>
      </c>
      <c r="AI70" s="1438" t="s">
        <v>19</v>
      </c>
      <c r="AJ70" s="1454"/>
      <c r="AK70" s="1454"/>
      <c r="AL70" s="1454"/>
      <c r="AM70" s="1454"/>
      <c r="AN70" s="1455"/>
    </row>
    <row r="71" spans="2:40" x14ac:dyDescent="0.15">
      <c r="B71" s="113"/>
      <c r="C71" s="9"/>
      <c r="D71" s="9"/>
      <c r="E71" s="9"/>
      <c r="F71" s="98"/>
      <c r="G71" s="98"/>
      <c r="H71" s="98"/>
      <c r="I71" s="98"/>
      <c r="J71" s="98"/>
      <c r="K71" s="55"/>
      <c r="L71" s="55"/>
      <c r="M71" s="55"/>
      <c r="N71" s="55"/>
      <c r="O71" s="55"/>
      <c r="P71" s="55"/>
      <c r="Q71" s="55"/>
      <c r="R71" s="55"/>
      <c r="S71" s="55"/>
      <c r="T71" s="55"/>
      <c r="U71" s="55"/>
      <c r="V71" s="55"/>
      <c r="W71" s="55"/>
      <c r="X71" s="55"/>
      <c r="Y71" s="55"/>
      <c r="Z71" s="55"/>
      <c r="AA71" s="55"/>
      <c r="AB71" s="55"/>
      <c r="AC71" s="55"/>
      <c r="AD71" s="55"/>
      <c r="AF71" s="1443"/>
      <c r="AG71" s="1449"/>
      <c r="AH71" s="1452"/>
      <c r="AI71" s="733" t="s">
        <v>561</v>
      </c>
      <c r="AJ71" s="733" t="s">
        <v>562</v>
      </c>
      <c r="AK71" s="733" t="s">
        <v>563</v>
      </c>
      <c r="AL71" s="733" t="s">
        <v>564</v>
      </c>
      <c r="AM71" s="733" t="s">
        <v>565</v>
      </c>
      <c r="AN71" s="100" t="s">
        <v>566</v>
      </c>
    </row>
    <row r="72" spans="2:40" ht="15" thickBot="1" x14ac:dyDescent="0.2">
      <c r="B72" s="113"/>
      <c r="C72" s="9"/>
      <c r="D72" s="9"/>
      <c r="E72" s="9"/>
      <c r="F72" s="98"/>
      <c r="G72" s="98"/>
      <c r="H72" s="98"/>
      <c r="I72" s="98"/>
      <c r="J72" s="98"/>
      <c r="K72" s="55"/>
      <c r="L72" s="55"/>
      <c r="M72" s="55"/>
      <c r="N72" s="55"/>
      <c r="O72" s="55"/>
      <c r="P72" s="55"/>
      <c r="Q72" s="55"/>
      <c r="R72" s="55"/>
      <c r="S72" s="55"/>
      <c r="T72" s="55"/>
      <c r="U72" s="55"/>
      <c r="V72" s="55"/>
      <c r="W72" s="55"/>
      <c r="X72" s="55"/>
      <c r="Y72" s="55"/>
      <c r="Z72" s="55"/>
      <c r="AA72" s="55"/>
      <c r="AB72" s="55"/>
      <c r="AC72" s="55"/>
      <c r="AD72" s="55"/>
      <c r="AF72" s="101"/>
      <c r="AG72" s="1450"/>
      <c r="AH72" s="1453"/>
      <c r="AI72" s="734" t="s">
        <v>1</v>
      </c>
      <c r="AJ72" s="734" t="s">
        <v>3</v>
      </c>
      <c r="AK72" s="734" t="s">
        <v>2</v>
      </c>
      <c r="AL72" s="734" t="s">
        <v>4</v>
      </c>
      <c r="AM72" s="734" t="s">
        <v>244</v>
      </c>
      <c r="AN72" s="102" t="s">
        <v>20</v>
      </c>
    </row>
    <row r="73" spans="2:40" x14ac:dyDescent="0.15">
      <c r="B73" s="113"/>
      <c r="C73" s="9"/>
      <c r="D73" s="9"/>
      <c r="E73" s="9"/>
      <c r="F73" s="98"/>
      <c r="G73" s="98"/>
      <c r="H73" s="98"/>
      <c r="I73" s="98"/>
      <c r="J73" s="98"/>
      <c r="K73" s="55"/>
      <c r="L73" s="55"/>
      <c r="M73" s="55"/>
      <c r="N73" s="55"/>
      <c r="O73" s="55"/>
      <c r="P73" s="55"/>
      <c r="Q73" s="55"/>
      <c r="R73" s="55"/>
      <c r="S73" s="55"/>
      <c r="T73" s="55"/>
      <c r="U73" s="55"/>
      <c r="V73" s="55"/>
      <c r="W73" s="55"/>
      <c r="X73" s="55"/>
      <c r="Y73" s="55"/>
      <c r="Z73" s="55"/>
      <c r="AA73" s="55"/>
      <c r="AB73" s="55"/>
      <c r="AC73" s="55"/>
      <c r="AD73" s="55"/>
      <c r="AF73" s="103" t="s">
        <v>23</v>
      </c>
      <c r="AG73" s="114" t="s">
        <v>570</v>
      </c>
      <c r="AH73" s="114" t="s">
        <v>543</v>
      </c>
      <c r="AI73" s="104">
        <v>21.6</v>
      </c>
      <c r="AJ73" s="104">
        <v>13.2</v>
      </c>
      <c r="AK73" s="104">
        <v>21.6</v>
      </c>
      <c r="AL73" s="104">
        <v>1.8</v>
      </c>
      <c r="AM73" s="104">
        <v>6</v>
      </c>
      <c r="AN73" s="105">
        <v>6860</v>
      </c>
    </row>
    <row r="74" spans="2:40" x14ac:dyDescent="0.15">
      <c r="B74" s="113"/>
      <c r="C74" s="9"/>
      <c r="D74" s="9"/>
      <c r="E74" s="9"/>
      <c r="F74" s="98"/>
      <c r="G74" s="98"/>
      <c r="H74" s="98"/>
      <c r="I74" s="98"/>
      <c r="J74" s="98"/>
      <c r="K74" s="55"/>
      <c r="L74" s="55"/>
      <c r="M74" s="55"/>
      <c r="N74" s="55"/>
      <c r="O74" s="55"/>
      <c r="P74" s="55"/>
      <c r="Q74" s="55"/>
      <c r="R74" s="55"/>
      <c r="S74" s="55"/>
      <c r="T74" s="55"/>
      <c r="U74" s="55"/>
      <c r="V74" s="55"/>
      <c r="W74" s="55"/>
      <c r="X74" s="55"/>
      <c r="Y74" s="55"/>
      <c r="Z74" s="55"/>
      <c r="AA74" s="55"/>
      <c r="AB74" s="55"/>
      <c r="AC74" s="55"/>
      <c r="AD74" s="55"/>
      <c r="AF74" s="106" t="s">
        <v>24</v>
      </c>
      <c r="AG74" s="4" t="s">
        <v>570</v>
      </c>
      <c r="AH74" s="4" t="s">
        <v>543</v>
      </c>
      <c r="AI74" s="107">
        <v>30.6</v>
      </c>
      <c r="AJ74" s="107">
        <v>18.600000000000001</v>
      </c>
      <c r="AK74" s="107">
        <v>30.6</v>
      </c>
      <c r="AL74" s="107">
        <v>2.1</v>
      </c>
      <c r="AM74" s="107">
        <v>7.8</v>
      </c>
      <c r="AN74" s="108">
        <v>8820</v>
      </c>
    </row>
    <row r="75" spans="2:40" x14ac:dyDescent="0.15">
      <c r="B75" s="113"/>
      <c r="C75" s="9"/>
      <c r="D75" s="9"/>
      <c r="E75" s="9"/>
      <c r="F75" s="98"/>
      <c r="G75" s="98"/>
      <c r="H75" s="98"/>
      <c r="I75" s="98"/>
      <c r="J75" s="98"/>
      <c r="K75" s="55"/>
      <c r="L75" s="55"/>
      <c r="M75" s="55"/>
      <c r="N75" s="55"/>
      <c r="O75" s="55"/>
      <c r="P75" s="55"/>
      <c r="Q75" s="55"/>
      <c r="R75" s="55"/>
      <c r="S75" s="55"/>
      <c r="T75" s="55"/>
      <c r="U75" s="55"/>
      <c r="V75" s="55"/>
      <c r="W75" s="55"/>
      <c r="X75" s="55"/>
      <c r="Y75" s="55"/>
      <c r="Z75" s="55"/>
      <c r="AA75" s="55"/>
      <c r="AB75" s="55"/>
      <c r="AC75" s="55"/>
      <c r="AD75" s="55"/>
      <c r="AF75" s="106" t="s">
        <v>25</v>
      </c>
      <c r="AG75" s="4" t="s">
        <v>570</v>
      </c>
      <c r="AH75" s="4" t="s">
        <v>543</v>
      </c>
      <c r="AI75" s="107">
        <v>27</v>
      </c>
      <c r="AJ75" s="107">
        <v>16.2</v>
      </c>
      <c r="AK75" s="107">
        <v>27</v>
      </c>
      <c r="AL75" s="107">
        <v>2.4</v>
      </c>
      <c r="AM75" s="107">
        <v>9</v>
      </c>
      <c r="AN75" s="108">
        <v>9800</v>
      </c>
    </row>
    <row r="76" spans="2:40" x14ac:dyDescent="0.15">
      <c r="B76" s="113"/>
      <c r="C76" s="9"/>
      <c r="D76" s="9"/>
      <c r="E76" s="9"/>
      <c r="F76" s="98"/>
      <c r="G76" s="98"/>
      <c r="H76" s="98"/>
      <c r="I76" s="98"/>
      <c r="J76" s="98"/>
      <c r="K76" s="55"/>
      <c r="L76" s="55"/>
      <c r="M76" s="55"/>
      <c r="N76" s="55"/>
      <c r="O76" s="55"/>
      <c r="P76" s="55"/>
      <c r="Q76" s="55"/>
      <c r="R76" s="55"/>
      <c r="S76" s="55"/>
      <c r="T76" s="55"/>
      <c r="U76" s="55"/>
      <c r="V76" s="55"/>
      <c r="W76" s="55"/>
      <c r="X76" s="55"/>
      <c r="Y76" s="55"/>
      <c r="Z76" s="55"/>
      <c r="AA76" s="55"/>
      <c r="AB76" s="55"/>
      <c r="AC76" s="55"/>
      <c r="AD76" s="55"/>
      <c r="AF76" s="106" t="s">
        <v>26</v>
      </c>
      <c r="AG76" s="4" t="s">
        <v>570</v>
      </c>
      <c r="AH76" s="4" t="s">
        <v>543</v>
      </c>
      <c r="AI76" s="107">
        <v>27</v>
      </c>
      <c r="AJ76" s="107">
        <v>16.2</v>
      </c>
      <c r="AK76" s="107">
        <v>26.4</v>
      </c>
      <c r="AL76" s="107">
        <v>2.4</v>
      </c>
      <c r="AM76" s="107">
        <v>9</v>
      </c>
      <c r="AN76" s="108">
        <v>7840</v>
      </c>
    </row>
    <row r="77" spans="2:40" x14ac:dyDescent="0.15">
      <c r="B77" s="113"/>
      <c r="C77" s="9"/>
      <c r="D77" s="9"/>
      <c r="E77" s="9"/>
      <c r="F77" s="98"/>
      <c r="G77" s="98"/>
      <c r="H77" s="98"/>
      <c r="I77" s="98"/>
      <c r="J77" s="98"/>
      <c r="K77" s="55"/>
      <c r="L77" s="55"/>
      <c r="M77" s="55"/>
      <c r="N77" s="55"/>
      <c r="O77" s="55"/>
      <c r="P77" s="55"/>
      <c r="Q77" s="55"/>
      <c r="R77" s="55"/>
      <c r="S77" s="55"/>
      <c r="T77" s="55"/>
      <c r="U77" s="55"/>
      <c r="V77" s="55"/>
      <c r="W77" s="55"/>
      <c r="X77" s="55"/>
      <c r="Y77" s="55"/>
      <c r="Z77" s="55"/>
      <c r="AA77" s="55"/>
      <c r="AB77" s="55"/>
      <c r="AC77" s="55"/>
      <c r="AD77" s="55"/>
      <c r="AF77" s="106" t="s">
        <v>27</v>
      </c>
      <c r="AG77" s="4" t="s">
        <v>570</v>
      </c>
      <c r="AH77" s="4" t="s">
        <v>543</v>
      </c>
      <c r="AI77" s="107">
        <v>27</v>
      </c>
      <c r="AJ77" s="107">
        <v>16.2</v>
      </c>
      <c r="AK77" s="107">
        <v>26.4</v>
      </c>
      <c r="AL77" s="107">
        <v>2.4</v>
      </c>
      <c r="AM77" s="107">
        <v>9</v>
      </c>
      <c r="AN77" s="108">
        <v>7840</v>
      </c>
    </row>
    <row r="78" spans="2:40" x14ac:dyDescent="0.15">
      <c r="B78" s="113"/>
      <c r="C78" s="9"/>
      <c r="D78" s="9"/>
      <c r="E78" s="9"/>
      <c r="F78" s="98"/>
      <c r="G78" s="98"/>
      <c r="H78" s="98"/>
      <c r="I78" s="98"/>
      <c r="J78" s="98"/>
      <c r="K78" s="55"/>
      <c r="L78" s="55"/>
      <c r="M78" s="55"/>
      <c r="N78" s="55"/>
      <c r="O78" s="55"/>
      <c r="P78" s="55"/>
      <c r="Q78" s="55"/>
      <c r="R78" s="55"/>
      <c r="S78" s="55"/>
      <c r="T78" s="55"/>
      <c r="U78" s="55"/>
      <c r="V78" s="55"/>
      <c r="W78" s="55"/>
      <c r="X78" s="55"/>
      <c r="Y78" s="55"/>
      <c r="Z78" s="55"/>
      <c r="AA78" s="55"/>
      <c r="AB78" s="55"/>
      <c r="AC78" s="55"/>
      <c r="AD78" s="55"/>
      <c r="AF78" s="106" t="s">
        <v>28</v>
      </c>
      <c r="AG78" s="4" t="s">
        <v>570</v>
      </c>
      <c r="AH78" s="4" t="s">
        <v>543</v>
      </c>
      <c r="AI78" s="107">
        <v>23.4</v>
      </c>
      <c r="AJ78" s="107">
        <v>14.4</v>
      </c>
      <c r="AK78" s="107">
        <v>23.4</v>
      </c>
      <c r="AL78" s="107">
        <v>2.1</v>
      </c>
      <c r="AM78" s="107">
        <v>7.8</v>
      </c>
      <c r="AN78" s="108">
        <v>7840</v>
      </c>
    </row>
    <row r="79" spans="2:40" x14ac:dyDescent="0.15">
      <c r="B79" s="113"/>
      <c r="C79" s="9"/>
      <c r="D79" s="9"/>
      <c r="E79" s="9"/>
      <c r="F79" s="98"/>
      <c r="G79" s="98"/>
      <c r="H79" s="98"/>
      <c r="I79" s="98"/>
      <c r="J79" s="98"/>
      <c r="K79" s="55"/>
      <c r="L79" s="55"/>
      <c r="M79" s="55"/>
      <c r="N79" s="55"/>
      <c r="O79" s="55"/>
      <c r="P79" s="55"/>
      <c r="Q79" s="55"/>
      <c r="R79" s="55"/>
      <c r="S79" s="55"/>
      <c r="T79" s="55"/>
      <c r="U79" s="55"/>
      <c r="V79" s="55"/>
      <c r="W79" s="55"/>
      <c r="X79" s="55"/>
      <c r="Y79" s="55"/>
      <c r="Z79" s="55"/>
      <c r="AA79" s="55"/>
      <c r="AB79" s="55"/>
      <c r="AC79" s="55"/>
      <c r="AD79" s="55"/>
      <c r="AF79" s="106" t="s">
        <v>571</v>
      </c>
      <c r="AG79" s="4" t="s">
        <v>570</v>
      </c>
      <c r="AH79" s="4" t="s">
        <v>543</v>
      </c>
      <c r="AI79" s="107">
        <v>28.2</v>
      </c>
      <c r="AJ79" s="107">
        <v>16.8</v>
      </c>
      <c r="AK79" s="107">
        <v>28.2</v>
      </c>
      <c r="AL79" s="107">
        <v>2.1</v>
      </c>
      <c r="AM79" s="107">
        <v>7.8</v>
      </c>
      <c r="AN79" s="108">
        <v>8820</v>
      </c>
    </row>
    <row r="80" spans="2:40" x14ac:dyDescent="0.15">
      <c r="B80" s="113"/>
      <c r="C80" s="9"/>
      <c r="D80" s="9"/>
      <c r="E80" s="9"/>
      <c r="F80" s="98"/>
      <c r="G80" s="98"/>
      <c r="H80" s="98"/>
      <c r="I80" s="98"/>
      <c r="J80" s="98"/>
      <c r="K80" s="55"/>
      <c r="L80" s="55"/>
      <c r="M80" s="55"/>
      <c r="N80" s="55"/>
      <c r="O80" s="55"/>
      <c r="P80" s="55"/>
      <c r="Q80" s="55"/>
      <c r="R80" s="55"/>
      <c r="S80" s="55"/>
      <c r="T80" s="55"/>
      <c r="U80" s="55"/>
      <c r="V80" s="55"/>
      <c r="W80" s="55"/>
      <c r="X80" s="55"/>
      <c r="Y80" s="55"/>
      <c r="Z80" s="55"/>
      <c r="AA80" s="55"/>
      <c r="AB80" s="55"/>
      <c r="AC80" s="55"/>
      <c r="AD80" s="55"/>
      <c r="AF80" s="106" t="s">
        <v>30</v>
      </c>
      <c r="AG80" s="4" t="s">
        <v>570</v>
      </c>
      <c r="AH80" s="4" t="s">
        <v>543</v>
      </c>
      <c r="AI80" s="107">
        <v>21</v>
      </c>
      <c r="AJ80" s="107">
        <v>12.6</v>
      </c>
      <c r="AK80" s="107">
        <v>21</v>
      </c>
      <c r="AL80" s="107">
        <v>2.1</v>
      </c>
      <c r="AM80" s="107">
        <v>6</v>
      </c>
      <c r="AN80" s="108">
        <v>7840</v>
      </c>
    </row>
    <row r="81" spans="2:40" x14ac:dyDescent="0.15">
      <c r="B81" s="113"/>
      <c r="C81" s="9"/>
      <c r="D81" s="9"/>
      <c r="E81" s="9"/>
      <c r="F81" s="98"/>
      <c r="G81" s="98"/>
      <c r="H81" s="98"/>
      <c r="I81" s="98"/>
      <c r="J81" s="98"/>
      <c r="K81" s="55"/>
      <c r="L81" s="55"/>
      <c r="M81" s="55"/>
      <c r="N81" s="55"/>
      <c r="O81" s="55"/>
      <c r="P81" s="55"/>
      <c r="Q81" s="55"/>
      <c r="R81" s="55"/>
      <c r="S81" s="55"/>
      <c r="T81" s="55"/>
      <c r="U81" s="55"/>
      <c r="V81" s="55"/>
      <c r="W81" s="55"/>
      <c r="X81" s="55"/>
      <c r="Y81" s="55"/>
      <c r="Z81" s="55"/>
      <c r="AA81" s="55"/>
      <c r="AB81" s="55"/>
      <c r="AC81" s="55"/>
      <c r="AD81" s="55"/>
      <c r="AF81" s="106" t="s">
        <v>31</v>
      </c>
      <c r="AG81" s="4" t="s">
        <v>570</v>
      </c>
      <c r="AH81" s="4" t="s">
        <v>543</v>
      </c>
      <c r="AI81" s="107">
        <v>21</v>
      </c>
      <c r="AJ81" s="107">
        <v>12.6</v>
      </c>
      <c r="AK81" s="107">
        <v>21</v>
      </c>
      <c r="AL81" s="107">
        <v>2.1</v>
      </c>
      <c r="AM81" s="107">
        <v>6</v>
      </c>
      <c r="AN81" s="108">
        <v>7840</v>
      </c>
    </row>
    <row r="82" spans="2:40" x14ac:dyDescent="0.15">
      <c r="B82" s="113"/>
      <c r="C82" s="9"/>
      <c r="D82" s="9"/>
      <c r="E82" s="9"/>
      <c r="F82" s="98"/>
      <c r="G82" s="98"/>
      <c r="H82" s="98"/>
      <c r="I82" s="98"/>
      <c r="J82" s="98"/>
      <c r="K82" s="55"/>
      <c r="L82" s="55"/>
      <c r="M82" s="55"/>
      <c r="N82" s="55"/>
      <c r="O82" s="55"/>
      <c r="P82" s="55"/>
      <c r="Q82" s="55"/>
      <c r="R82" s="55"/>
      <c r="S82" s="55"/>
      <c r="T82" s="55"/>
      <c r="U82" s="55"/>
      <c r="V82" s="55"/>
      <c r="W82" s="55"/>
      <c r="X82" s="55"/>
      <c r="Y82" s="55"/>
      <c r="Z82" s="55"/>
      <c r="AA82" s="55"/>
      <c r="AB82" s="55"/>
      <c r="AC82" s="55"/>
      <c r="AD82" s="55"/>
      <c r="AF82" s="106" t="s">
        <v>572</v>
      </c>
      <c r="AG82" s="4" t="s">
        <v>570</v>
      </c>
      <c r="AH82" s="4" t="s">
        <v>543</v>
      </c>
      <c r="AI82" s="107">
        <v>27</v>
      </c>
      <c r="AJ82" s="107">
        <v>16.2</v>
      </c>
      <c r="AK82" s="107">
        <v>27</v>
      </c>
      <c r="AL82" s="107">
        <v>1.8</v>
      </c>
      <c r="AM82" s="107">
        <v>6</v>
      </c>
      <c r="AN82" s="108">
        <v>6860</v>
      </c>
    </row>
    <row r="83" spans="2:40" x14ac:dyDescent="0.15">
      <c r="B83" s="113"/>
      <c r="C83" s="9"/>
      <c r="D83" s="9"/>
      <c r="E83" s="9"/>
      <c r="F83" s="98"/>
      <c r="G83" s="98"/>
      <c r="H83" s="98"/>
      <c r="I83" s="98"/>
      <c r="J83" s="98"/>
      <c r="K83" s="55"/>
      <c r="L83" s="55"/>
      <c r="M83" s="55"/>
      <c r="N83" s="55"/>
      <c r="O83" s="55"/>
      <c r="P83" s="55"/>
      <c r="Q83" s="55"/>
      <c r="R83" s="55"/>
      <c r="S83" s="55"/>
      <c r="T83" s="55"/>
      <c r="U83" s="55"/>
      <c r="V83" s="55"/>
      <c r="W83" s="55"/>
      <c r="X83" s="55"/>
      <c r="Y83" s="55"/>
      <c r="Z83" s="55"/>
      <c r="AA83" s="55"/>
      <c r="AB83" s="55"/>
      <c r="AC83" s="55"/>
      <c r="AD83" s="55"/>
      <c r="AF83" s="106" t="s">
        <v>33</v>
      </c>
      <c r="AG83" s="4" t="s">
        <v>570</v>
      </c>
      <c r="AH83" s="4" t="s">
        <v>543</v>
      </c>
      <c r="AI83" s="107">
        <v>27</v>
      </c>
      <c r="AJ83" s="107">
        <v>16.2</v>
      </c>
      <c r="AK83" s="107">
        <v>27</v>
      </c>
      <c r="AL83" s="107">
        <v>1.8</v>
      </c>
      <c r="AM83" s="107">
        <v>6</v>
      </c>
      <c r="AN83" s="108">
        <v>6860</v>
      </c>
    </row>
    <row r="84" spans="2:40" x14ac:dyDescent="0.15">
      <c r="B84" s="113"/>
      <c r="C84" s="9"/>
      <c r="D84" s="9"/>
      <c r="E84" s="9"/>
      <c r="F84" s="98"/>
      <c r="G84" s="98"/>
      <c r="H84" s="98"/>
      <c r="I84" s="98"/>
      <c r="J84" s="98"/>
      <c r="K84" s="55"/>
      <c r="L84" s="55"/>
      <c r="M84" s="55"/>
      <c r="N84" s="55"/>
      <c r="O84" s="55"/>
      <c r="P84" s="55"/>
      <c r="Q84" s="55"/>
      <c r="R84" s="55"/>
      <c r="S84" s="55"/>
      <c r="T84" s="55"/>
      <c r="U84" s="55"/>
      <c r="V84" s="55"/>
      <c r="W84" s="55"/>
      <c r="X84" s="55"/>
      <c r="Y84" s="55"/>
      <c r="Z84" s="55"/>
      <c r="AA84" s="55"/>
      <c r="AB84" s="55"/>
      <c r="AC84" s="55"/>
      <c r="AD84" s="55"/>
      <c r="AF84" s="106" t="s">
        <v>34</v>
      </c>
      <c r="AG84" s="4" t="s">
        <v>570</v>
      </c>
      <c r="AH84" s="4" t="s">
        <v>543</v>
      </c>
      <c r="AI84" s="107">
        <v>27</v>
      </c>
      <c r="AJ84" s="107">
        <v>16.2</v>
      </c>
      <c r="AK84" s="107">
        <v>27</v>
      </c>
      <c r="AL84" s="107">
        <v>1.8</v>
      </c>
      <c r="AM84" s="107">
        <v>6</v>
      </c>
      <c r="AN84" s="108">
        <v>6860</v>
      </c>
    </row>
    <row r="85" spans="2:40" x14ac:dyDescent="0.15">
      <c r="B85" s="113"/>
      <c r="C85" s="9"/>
      <c r="D85" s="9"/>
      <c r="E85" s="9"/>
      <c r="F85" s="98"/>
      <c r="G85" s="98"/>
      <c r="H85" s="98"/>
      <c r="I85" s="98"/>
      <c r="J85" s="98"/>
      <c r="K85" s="55"/>
      <c r="L85" s="55"/>
      <c r="M85" s="55"/>
      <c r="N85" s="55"/>
      <c r="O85" s="55"/>
      <c r="P85" s="55"/>
      <c r="Q85" s="55"/>
      <c r="R85" s="55"/>
      <c r="S85" s="55"/>
      <c r="T85" s="55"/>
      <c r="U85" s="55"/>
      <c r="V85" s="55"/>
      <c r="W85" s="55"/>
      <c r="X85" s="55"/>
      <c r="Y85" s="55"/>
      <c r="Z85" s="55"/>
      <c r="AA85" s="55"/>
      <c r="AB85" s="55"/>
      <c r="AC85" s="55"/>
      <c r="AD85" s="55"/>
      <c r="AF85" s="106"/>
      <c r="AG85" s="4"/>
      <c r="AH85" s="4"/>
      <c r="AI85" s="107"/>
      <c r="AJ85" s="107"/>
      <c r="AK85" s="107"/>
      <c r="AL85" s="107"/>
      <c r="AM85" s="107"/>
      <c r="AN85" s="108"/>
    </row>
    <row r="86" spans="2:40" x14ac:dyDescent="0.15">
      <c r="B86" s="113"/>
      <c r="C86" s="9"/>
      <c r="D86" s="9"/>
      <c r="E86" s="9"/>
      <c r="F86" s="98"/>
      <c r="G86" s="98"/>
      <c r="H86" s="98"/>
      <c r="I86" s="98"/>
      <c r="J86" s="98"/>
      <c r="K86" s="55"/>
      <c r="L86" s="55"/>
      <c r="M86" s="55"/>
      <c r="N86" s="55"/>
      <c r="O86" s="55"/>
      <c r="P86" s="55"/>
      <c r="Q86" s="55"/>
      <c r="R86" s="55"/>
      <c r="S86" s="55"/>
      <c r="T86" s="55"/>
      <c r="U86" s="55"/>
      <c r="V86" s="55"/>
      <c r="W86" s="55"/>
      <c r="X86" s="55"/>
      <c r="Y86" s="55"/>
      <c r="Z86" s="55"/>
      <c r="AA86" s="55"/>
      <c r="AB86" s="55"/>
      <c r="AC86" s="55"/>
      <c r="AD86" s="55"/>
      <c r="AF86" s="106"/>
      <c r="AG86" s="4"/>
      <c r="AH86" s="4"/>
      <c r="AI86" s="107"/>
      <c r="AJ86" s="107"/>
      <c r="AK86" s="107"/>
      <c r="AL86" s="107"/>
      <c r="AM86" s="107"/>
      <c r="AN86" s="108"/>
    </row>
    <row r="87" spans="2:40" x14ac:dyDescent="0.15">
      <c r="B87" s="113"/>
      <c r="C87" s="9"/>
      <c r="D87" s="9"/>
      <c r="E87" s="9"/>
      <c r="F87" s="98"/>
      <c r="G87" s="98"/>
      <c r="H87" s="98"/>
      <c r="I87" s="98"/>
      <c r="J87" s="98"/>
      <c r="K87" s="55"/>
      <c r="L87" s="55"/>
      <c r="M87" s="55"/>
      <c r="N87" s="55"/>
      <c r="O87" s="55"/>
      <c r="P87" s="55"/>
      <c r="Q87" s="55"/>
      <c r="R87" s="55"/>
      <c r="S87" s="55"/>
      <c r="T87" s="55"/>
      <c r="U87" s="55"/>
      <c r="V87" s="55"/>
      <c r="W87" s="55"/>
      <c r="X87" s="55"/>
      <c r="Y87" s="55"/>
      <c r="Z87" s="55"/>
      <c r="AA87" s="55"/>
      <c r="AB87" s="55"/>
      <c r="AC87" s="55"/>
      <c r="AD87" s="55"/>
      <c r="AF87" s="106"/>
      <c r="AG87" s="4"/>
      <c r="AH87" s="4"/>
      <c r="AI87" s="107"/>
      <c r="AJ87" s="107"/>
      <c r="AK87" s="107"/>
      <c r="AL87" s="107"/>
      <c r="AM87" s="107"/>
      <c r="AN87" s="108"/>
    </row>
    <row r="88" spans="2:40" x14ac:dyDescent="0.15">
      <c r="B88" s="113"/>
      <c r="C88" s="9"/>
      <c r="D88" s="9"/>
      <c r="E88" s="9"/>
      <c r="F88" s="98"/>
      <c r="G88" s="98"/>
      <c r="H88" s="98"/>
      <c r="I88" s="98"/>
      <c r="J88" s="98"/>
      <c r="K88" s="55"/>
      <c r="L88" s="55"/>
      <c r="M88" s="55"/>
      <c r="N88" s="55"/>
      <c r="O88" s="55"/>
      <c r="P88" s="55"/>
      <c r="Q88" s="55"/>
      <c r="R88" s="55"/>
      <c r="S88" s="55"/>
      <c r="T88" s="55"/>
      <c r="U88" s="55"/>
      <c r="V88" s="55"/>
      <c r="W88" s="55"/>
      <c r="X88" s="55"/>
      <c r="Y88" s="55"/>
      <c r="Z88" s="55"/>
      <c r="AA88" s="55"/>
      <c r="AB88" s="55"/>
      <c r="AC88" s="55"/>
      <c r="AD88" s="55"/>
      <c r="AF88" s="106"/>
      <c r="AG88" s="4"/>
      <c r="AH88" s="4"/>
      <c r="AI88" s="107"/>
      <c r="AJ88" s="107"/>
      <c r="AK88" s="107"/>
      <c r="AL88" s="107"/>
      <c r="AM88" s="107"/>
      <c r="AN88" s="108"/>
    </row>
    <row r="89" spans="2:40" ht="15" thickBot="1" x14ac:dyDescent="0.2">
      <c r="B89" s="113"/>
      <c r="C89" s="9"/>
      <c r="D89" s="9"/>
      <c r="E89" s="9"/>
      <c r="F89" s="98"/>
      <c r="G89" s="98"/>
      <c r="H89" s="98"/>
      <c r="I89" s="98"/>
      <c r="J89" s="98"/>
      <c r="K89" s="55"/>
      <c r="L89" s="55"/>
      <c r="M89" s="55"/>
      <c r="N89" s="55"/>
      <c r="O89" s="55"/>
      <c r="P89" s="55"/>
      <c r="Q89" s="55"/>
      <c r="R89" s="55"/>
      <c r="S89" s="55"/>
      <c r="T89" s="55"/>
      <c r="U89" s="55"/>
      <c r="V89" s="55"/>
      <c r="W89" s="55"/>
      <c r="X89" s="55"/>
      <c r="Y89" s="55"/>
      <c r="Z89" s="55"/>
      <c r="AA89" s="55"/>
      <c r="AB89" s="55"/>
      <c r="AC89" s="55"/>
      <c r="AD89" s="55"/>
      <c r="AF89" s="109"/>
      <c r="AG89" s="4"/>
      <c r="AH89" s="4"/>
      <c r="AI89" s="111"/>
      <c r="AJ89" s="111"/>
      <c r="AK89" s="111"/>
      <c r="AL89" s="111"/>
      <c r="AM89" s="111"/>
      <c r="AN89" s="112"/>
    </row>
    <row r="90" spans="2:40" x14ac:dyDescent="0.15">
      <c r="B90" s="113"/>
      <c r="C90" s="9"/>
      <c r="D90" s="9"/>
      <c r="E90" s="9"/>
      <c r="F90" s="98"/>
      <c r="G90" s="98"/>
      <c r="H90" s="98"/>
      <c r="I90" s="98"/>
      <c r="J90" s="98"/>
      <c r="K90" s="55"/>
      <c r="L90" s="55"/>
      <c r="M90" s="55"/>
      <c r="N90" s="55"/>
      <c r="O90" s="55"/>
      <c r="P90" s="55"/>
      <c r="Q90" s="55"/>
      <c r="R90" s="55"/>
      <c r="S90" s="55"/>
      <c r="T90" s="55"/>
      <c r="U90" s="55"/>
      <c r="V90" s="55"/>
      <c r="W90" s="55"/>
      <c r="X90" s="55"/>
      <c r="Y90" s="55"/>
      <c r="Z90" s="55"/>
      <c r="AA90" s="55"/>
      <c r="AB90" s="55"/>
      <c r="AC90" s="55"/>
      <c r="AD90" s="55"/>
      <c r="AG90" s="2"/>
      <c r="AH90" s="2"/>
    </row>
    <row r="91" spans="2:40" ht="15" thickBot="1" x14ac:dyDescent="0.2">
      <c r="B91" s="113"/>
      <c r="C91" s="9"/>
      <c r="D91" s="9"/>
      <c r="E91" s="9"/>
      <c r="F91" s="98"/>
      <c r="G91" s="98"/>
      <c r="H91" s="98"/>
      <c r="I91" s="98"/>
      <c r="J91" s="98"/>
      <c r="K91" s="55"/>
      <c r="L91" s="55"/>
      <c r="M91" s="55"/>
      <c r="N91" s="55"/>
      <c r="O91" s="55"/>
      <c r="P91" s="55"/>
      <c r="Q91" s="55"/>
      <c r="R91" s="55"/>
      <c r="S91" s="55"/>
      <c r="T91" s="55"/>
      <c r="U91" s="55"/>
      <c r="V91" s="55"/>
      <c r="W91" s="55"/>
      <c r="X91" s="55"/>
      <c r="Y91" s="55"/>
      <c r="Z91" s="55"/>
      <c r="AA91" s="55"/>
      <c r="AB91" s="55"/>
      <c r="AC91" s="55"/>
      <c r="AD91" s="55"/>
      <c r="AF91" s="99" t="s">
        <v>538</v>
      </c>
      <c r="AG91" s="23"/>
      <c r="AH91" s="23" t="s">
        <v>570</v>
      </c>
      <c r="AI91" s="9" t="s">
        <v>560</v>
      </c>
      <c r="AJ91" s="23"/>
      <c r="AK91" s="23"/>
      <c r="AL91" s="23"/>
      <c r="AM91" s="23"/>
      <c r="AN91" s="23"/>
    </row>
    <row r="92" spans="2:40" x14ac:dyDescent="0.15">
      <c r="B92" s="113"/>
      <c r="C92" s="9"/>
      <c r="D92" s="9"/>
      <c r="E92" s="9"/>
      <c r="F92" s="98"/>
      <c r="G92" s="98"/>
      <c r="H92" s="98"/>
      <c r="I92" s="98"/>
      <c r="J92" s="98"/>
      <c r="K92" s="55"/>
      <c r="L92" s="55"/>
      <c r="M92" s="55"/>
      <c r="N92" s="55"/>
      <c r="O92" s="55"/>
      <c r="P92" s="55"/>
      <c r="Q92" s="55"/>
      <c r="R92" s="55"/>
      <c r="S92" s="55"/>
      <c r="T92" s="55"/>
      <c r="U92" s="55"/>
      <c r="V92" s="55"/>
      <c r="W92" s="55"/>
      <c r="X92" s="55"/>
      <c r="Y92" s="55"/>
      <c r="Z92" s="55"/>
      <c r="AA92" s="55"/>
      <c r="AB92" s="55"/>
      <c r="AC92" s="55"/>
      <c r="AD92" s="55"/>
      <c r="AF92" s="1442" t="s">
        <v>15</v>
      </c>
      <c r="AG92" s="1448" t="s">
        <v>16</v>
      </c>
      <c r="AH92" s="1451" t="s">
        <v>17</v>
      </c>
      <c r="AI92" s="1438" t="s">
        <v>19</v>
      </c>
      <c r="AJ92" s="1454"/>
      <c r="AK92" s="1454"/>
      <c r="AL92" s="1454"/>
      <c r="AM92" s="1454"/>
      <c r="AN92" s="1455"/>
    </row>
    <row r="93" spans="2:40" x14ac:dyDescent="0.15">
      <c r="B93" s="113"/>
      <c r="C93" s="9"/>
      <c r="D93" s="9"/>
      <c r="E93" s="9"/>
      <c r="F93" s="98"/>
      <c r="G93" s="98"/>
      <c r="H93" s="98"/>
      <c r="I93" s="98"/>
      <c r="J93" s="98"/>
      <c r="K93" s="55"/>
      <c r="L93" s="55"/>
      <c r="M93" s="55"/>
      <c r="N93" s="55"/>
      <c r="O93" s="55"/>
      <c r="P93" s="55"/>
      <c r="Q93" s="55"/>
      <c r="R93" s="55"/>
      <c r="S93" s="55"/>
      <c r="T93" s="55"/>
      <c r="U93" s="55"/>
      <c r="V93" s="55"/>
      <c r="W93" s="55"/>
      <c r="X93" s="55"/>
      <c r="Y93" s="55"/>
      <c r="Z93" s="55"/>
      <c r="AA93" s="55"/>
      <c r="AB93" s="55"/>
      <c r="AC93" s="55"/>
      <c r="AD93" s="55"/>
      <c r="AF93" s="1443"/>
      <c r="AG93" s="1449"/>
      <c r="AH93" s="1452"/>
      <c r="AI93" s="733" t="s">
        <v>561</v>
      </c>
      <c r="AJ93" s="733" t="s">
        <v>562</v>
      </c>
      <c r="AK93" s="733" t="s">
        <v>563</v>
      </c>
      <c r="AL93" s="733" t="s">
        <v>564</v>
      </c>
      <c r="AM93" s="733" t="s">
        <v>565</v>
      </c>
      <c r="AN93" s="100" t="s">
        <v>566</v>
      </c>
    </row>
    <row r="94" spans="2:40" ht="15" thickBot="1" x14ac:dyDescent="0.2">
      <c r="B94" s="113"/>
      <c r="C94" s="9"/>
      <c r="D94" s="9"/>
      <c r="E94" s="9"/>
      <c r="F94" s="98"/>
      <c r="G94" s="98"/>
      <c r="H94" s="98"/>
      <c r="I94" s="98"/>
      <c r="J94" s="98"/>
      <c r="K94" s="55"/>
      <c r="L94" s="55"/>
      <c r="M94" s="55"/>
      <c r="N94" s="55"/>
      <c r="O94" s="55"/>
      <c r="P94" s="55"/>
      <c r="Q94" s="55"/>
      <c r="R94" s="55"/>
      <c r="S94" s="55"/>
      <c r="T94" s="55"/>
      <c r="U94" s="55"/>
      <c r="V94" s="55"/>
      <c r="W94" s="55"/>
      <c r="X94" s="55"/>
      <c r="Y94" s="55"/>
      <c r="Z94" s="55"/>
      <c r="AA94" s="55"/>
      <c r="AB94" s="55"/>
      <c r="AC94" s="55"/>
      <c r="AD94" s="55"/>
      <c r="AF94" s="101"/>
      <c r="AG94" s="1450"/>
      <c r="AH94" s="1453"/>
      <c r="AI94" s="734" t="s">
        <v>1</v>
      </c>
      <c r="AJ94" s="734" t="s">
        <v>3</v>
      </c>
      <c r="AK94" s="734" t="s">
        <v>2</v>
      </c>
      <c r="AL94" s="734" t="s">
        <v>4</v>
      </c>
      <c r="AM94" s="734" t="s">
        <v>244</v>
      </c>
      <c r="AN94" s="102" t="s">
        <v>20</v>
      </c>
    </row>
    <row r="95" spans="2:40" x14ac:dyDescent="0.15">
      <c r="B95" s="113"/>
      <c r="C95" s="9"/>
      <c r="D95" s="9"/>
      <c r="E95" s="9"/>
      <c r="F95" s="98"/>
      <c r="G95" s="98"/>
      <c r="H95" s="98"/>
      <c r="I95" s="98"/>
      <c r="J95" s="98"/>
      <c r="K95" s="55"/>
      <c r="L95" s="55"/>
      <c r="M95" s="55"/>
      <c r="N95" s="55"/>
      <c r="O95" s="55"/>
      <c r="P95" s="55"/>
      <c r="Q95" s="55"/>
      <c r="R95" s="55"/>
      <c r="S95" s="55"/>
      <c r="T95" s="55"/>
      <c r="U95" s="55"/>
      <c r="V95" s="55"/>
      <c r="W95" s="55"/>
      <c r="X95" s="55"/>
      <c r="Y95" s="55"/>
      <c r="Z95" s="55"/>
      <c r="AA95" s="55"/>
      <c r="AB95" s="55"/>
      <c r="AC95" s="55"/>
      <c r="AD95" s="55"/>
      <c r="AF95" s="103" t="s">
        <v>23</v>
      </c>
      <c r="AG95" s="114" t="s">
        <v>570</v>
      </c>
      <c r="AH95" s="114" t="s">
        <v>560</v>
      </c>
      <c r="AI95" s="104">
        <v>20.399999999999999</v>
      </c>
      <c r="AJ95" s="104">
        <v>12.6</v>
      </c>
      <c r="AK95" s="104">
        <v>20.399999999999999</v>
      </c>
      <c r="AL95" s="104">
        <v>1.8</v>
      </c>
      <c r="AM95" s="104">
        <v>6</v>
      </c>
      <c r="AN95" s="105">
        <v>6860</v>
      </c>
    </row>
    <row r="96" spans="2:40" x14ac:dyDescent="0.15">
      <c r="B96" s="113"/>
      <c r="C96" s="9"/>
      <c r="D96" s="9"/>
      <c r="E96" s="9"/>
      <c r="F96" s="98"/>
      <c r="G96" s="98"/>
      <c r="H96" s="98"/>
      <c r="I96" s="98"/>
      <c r="J96" s="98"/>
      <c r="K96" s="55"/>
      <c r="L96" s="55"/>
      <c r="M96" s="55"/>
      <c r="N96" s="55"/>
      <c r="O96" s="55"/>
      <c r="P96" s="55"/>
      <c r="Q96" s="55"/>
      <c r="R96" s="55"/>
      <c r="S96" s="55"/>
      <c r="T96" s="55"/>
      <c r="U96" s="55"/>
      <c r="V96" s="55"/>
      <c r="W96" s="55"/>
      <c r="X96" s="55"/>
      <c r="Y96" s="55"/>
      <c r="Z96" s="55"/>
      <c r="AA96" s="55"/>
      <c r="AB96" s="55"/>
      <c r="AC96" s="55"/>
      <c r="AD96" s="55"/>
      <c r="AF96" s="106" t="s">
        <v>24</v>
      </c>
      <c r="AG96" s="4" t="s">
        <v>570</v>
      </c>
      <c r="AH96" s="4" t="s">
        <v>560</v>
      </c>
      <c r="AI96" s="107">
        <v>27</v>
      </c>
      <c r="AJ96" s="107">
        <v>16.2</v>
      </c>
      <c r="AK96" s="107">
        <v>27</v>
      </c>
      <c r="AL96" s="107">
        <v>2.1</v>
      </c>
      <c r="AM96" s="107">
        <v>7.8</v>
      </c>
      <c r="AN96" s="108">
        <v>8820</v>
      </c>
    </row>
    <row r="97" spans="2:40" x14ac:dyDescent="0.15">
      <c r="B97" s="113"/>
      <c r="C97" s="9"/>
      <c r="D97" s="9"/>
      <c r="E97" s="9"/>
      <c r="F97" s="98"/>
      <c r="G97" s="98"/>
      <c r="H97" s="98"/>
      <c r="I97" s="98"/>
      <c r="J97" s="98"/>
      <c r="K97" s="55"/>
      <c r="L97" s="55"/>
      <c r="M97" s="55"/>
      <c r="N97" s="55"/>
      <c r="O97" s="55"/>
      <c r="P97" s="55"/>
      <c r="Q97" s="55"/>
      <c r="R97" s="55"/>
      <c r="S97" s="55"/>
      <c r="T97" s="55"/>
      <c r="U97" s="55"/>
      <c r="V97" s="55"/>
      <c r="W97" s="55"/>
      <c r="X97" s="55"/>
      <c r="Y97" s="55"/>
      <c r="Z97" s="55"/>
      <c r="AA97" s="55"/>
      <c r="AB97" s="55"/>
      <c r="AC97" s="55"/>
      <c r="AD97" s="55"/>
      <c r="AF97" s="106" t="s">
        <v>25</v>
      </c>
      <c r="AG97" s="4" t="s">
        <v>570</v>
      </c>
      <c r="AH97" s="4" t="s">
        <v>560</v>
      </c>
      <c r="AI97" s="107">
        <v>18</v>
      </c>
      <c r="AJ97" s="107">
        <v>10.8</v>
      </c>
      <c r="AK97" s="107">
        <v>18</v>
      </c>
      <c r="AL97" s="107">
        <v>2.4</v>
      </c>
      <c r="AM97" s="107">
        <v>9</v>
      </c>
      <c r="AN97" s="108">
        <v>9800</v>
      </c>
    </row>
    <row r="98" spans="2:40" x14ac:dyDescent="0.15">
      <c r="B98" s="113"/>
      <c r="C98" s="9"/>
      <c r="D98" s="9"/>
      <c r="E98" s="9"/>
      <c r="F98" s="98"/>
      <c r="G98" s="98"/>
      <c r="H98" s="98"/>
      <c r="I98" s="98"/>
      <c r="J98" s="98"/>
      <c r="K98" s="55"/>
      <c r="L98" s="55"/>
      <c r="M98" s="55"/>
      <c r="N98" s="55"/>
      <c r="O98" s="55"/>
      <c r="P98" s="55"/>
      <c r="Q98" s="55"/>
      <c r="R98" s="55"/>
      <c r="S98" s="55"/>
      <c r="T98" s="55"/>
      <c r="U98" s="55"/>
      <c r="V98" s="55"/>
      <c r="W98" s="55"/>
      <c r="X98" s="55"/>
      <c r="Y98" s="55"/>
      <c r="Z98" s="55"/>
      <c r="AA98" s="55"/>
      <c r="AB98" s="55"/>
      <c r="AC98" s="55"/>
      <c r="AD98" s="55"/>
      <c r="AF98" s="106" t="s">
        <v>26</v>
      </c>
      <c r="AG98" s="4" t="s">
        <v>570</v>
      </c>
      <c r="AH98" s="4" t="s">
        <v>560</v>
      </c>
      <c r="AI98" s="107">
        <v>16.8</v>
      </c>
      <c r="AJ98" s="107">
        <v>10.199999999999999</v>
      </c>
      <c r="AK98" s="107">
        <v>16.8</v>
      </c>
      <c r="AL98" s="107">
        <v>2.4</v>
      </c>
      <c r="AM98" s="107">
        <v>9</v>
      </c>
      <c r="AN98" s="108">
        <v>7840</v>
      </c>
    </row>
    <row r="99" spans="2:40" x14ac:dyDescent="0.15">
      <c r="B99" s="113"/>
      <c r="C99" s="9"/>
      <c r="D99" s="9"/>
      <c r="E99" s="9"/>
      <c r="F99" s="98"/>
      <c r="G99" s="98"/>
      <c r="H99" s="98"/>
      <c r="I99" s="98"/>
      <c r="J99" s="98"/>
      <c r="K99" s="55"/>
      <c r="L99" s="55"/>
      <c r="M99" s="55"/>
      <c r="N99" s="55"/>
      <c r="O99" s="55"/>
      <c r="P99" s="55"/>
      <c r="Q99" s="55"/>
      <c r="R99" s="55"/>
      <c r="S99" s="55"/>
      <c r="T99" s="55"/>
      <c r="U99" s="55"/>
      <c r="V99" s="55"/>
      <c r="W99" s="55"/>
      <c r="X99" s="55"/>
      <c r="Y99" s="55"/>
      <c r="Z99" s="55"/>
      <c r="AA99" s="55"/>
      <c r="AB99" s="55"/>
      <c r="AC99" s="55"/>
      <c r="AD99" s="55"/>
      <c r="AF99" s="106" t="s">
        <v>27</v>
      </c>
      <c r="AG99" s="4" t="s">
        <v>570</v>
      </c>
      <c r="AH99" s="4" t="s">
        <v>560</v>
      </c>
      <c r="AI99" s="107">
        <v>16.8</v>
      </c>
      <c r="AJ99" s="107">
        <v>10.199999999999999</v>
      </c>
      <c r="AK99" s="107">
        <v>16.8</v>
      </c>
      <c r="AL99" s="107">
        <v>2.4</v>
      </c>
      <c r="AM99" s="107">
        <v>9</v>
      </c>
      <c r="AN99" s="108">
        <v>7840</v>
      </c>
    </row>
    <row r="100" spans="2:40" x14ac:dyDescent="0.15">
      <c r="B100" s="113"/>
      <c r="C100" s="9"/>
      <c r="D100" s="9"/>
      <c r="E100" s="9"/>
      <c r="F100" s="98"/>
      <c r="G100" s="98"/>
      <c r="H100" s="98"/>
      <c r="I100" s="98"/>
      <c r="J100" s="98"/>
      <c r="K100" s="55"/>
      <c r="L100" s="55"/>
      <c r="M100" s="55"/>
      <c r="N100" s="55"/>
      <c r="O100" s="55"/>
      <c r="P100" s="55"/>
      <c r="Q100" s="55"/>
      <c r="R100" s="55"/>
      <c r="S100" s="55"/>
      <c r="T100" s="55"/>
      <c r="U100" s="55"/>
      <c r="V100" s="55"/>
      <c r="W100" s="55"/>
      <c r="X100" s="55"/>
      <c r="Y100" s="55"/>
      <c r="Z100" s="55"/>
      <c r="AA100" s="55"/>
      <c r="AB100" s="55"/>
      <c r="AC100" s="55"/>
      <c r="AD100" s="55"/>
      <c r="AF100" s="106" t="s">
        <v>28</v>
      </c>
      <c r="AG100" s="4" t="s">
        <v>570</v>
      </c>
      <c r="AH100" s="4" t="s">
        <v>560</v>
      </c>
      <c r="AI100" s="107">
        <v>20.399999999999999</v>
      </c>
      <c r="AJ100" s="107">
        <v>12.6</v>
      </c>
      <c r="AK100" s="107">
        <v>20.399999999999999</v>
      </c>
      <c r="AL100" s="107">
        <v>2.1</v>
      </c>
      <c r="AM100" s="107">
        <v>7.8</v>
      </c>
      <c r="AN100" s="108">
        <v>7840</v>
      </c>
    </row>
    <row r="101" spans="2:40" x14ac:dyDescent="0.15">
      <c r="B101" s="113"/>
      <c r="C101" s="9"/>
      <c r="D101" s="9"/>
      <c r="E101" s="9"/>
      <c r="F101" s="98"/>
      <c r="G101" s="98"/>
      <c r="H101" s="98"/>
      <c r="I101" s="98"/>
      <c r="J101" s="98"/>
      <c r="K101" s="55"/>
      <c r="L101" s="55"/>
      <c r="M101" s="55"/>
      <c r="N101" s="55"/>
      <c r="O101" s="55"/>
      <c r="P101" s="55"/>
      <c r="Q101" s="55"/>
      <c r="R101" s="55"/>
      <c r="S101" s="55"/>
      <c r="T101" s="55"/>
      <c r="U101" s="55"/>
      <c r="V101" s="55"/>
      <c r="W101" s="55"/>
      <c r="X101" s="55"/>
      <c r="Y101" s="55"/>
      <c r="Z101" s="55"/>
      <c r="AA101" s="55"/>
      <c r="AB101" s="55"/>
      <c r="AC101" s="55"/>
      <c r="AD101" s="55"/>
      <c r="AF101" s="106" t="s">
        <v>573</v>
      </c>
      <c r="AG101" s="4" t="s">
        <v>570</v>
      </c>
      <c r="AH101" s="4" t="s">
        <v>560</v>
      </c>
      <c r="AI101" s="107">
        <v>27.6</v>
      </c>
      <c r="AJ101" s="107">
        <v>16.8</v>
      </c>
      <c r="AK101" s="107">
        <v>27.6</v>
      </c>
      <c r="AL101" s="107">
        <v>2.1</v>
      </c>
      <c r="AM101" s="107">
        <v>7.8</v>
      </c>
      <c r="AN101" s="108">
        <v>8820</v>
      </c>
    </row>
    <row r="102" spans="2:40" x14ac:dyDescent="0.15">
      <c r="B102" s="113"/>
      <c r="C102" s="9"/>
      <c r="D102" s="9"/>
      <c r="E102" s="9"/>
      <c r="F102" s="98"/>
      <c r="G102" s="98"/>
      <c r="H102" s="98"/>
      <c r="I102" s="98"/>
      <c r="J102" s="98"/>
      <c r="K102" s="55"/>
      <c r="L102" s="55"/>
      <c r="M102" s="55"/>
      <c r="N102" s="55"/>
      <c r="O102" s="55"/>
      <c r="P102" s="55"/>
      <c r="Q102" s="55"/>
      <c r="R102" s="55"/>
      <c r="S102" s="55"/>
      <c r="T102" s="55"/>
      <c r="U102" s="55"/>
      <c r="V102" s="55"/>
      <c r="W102" s="55"/>
      <c r="X102" s="55"/>
      <c r="Y102" s="55"/>
      <c r="Z102" s="55"/>
      <c r="AA102" s="55"/>
      <c r="AB102" s="55"/>
      <c r="AC102" s="55"/>
      <c r="AD102" s="55"/>
      <c r="AF102" s="106" t="s">
        <v>30</v>
      </c>
      <c r="AG102" s="4" t="s">
        <v>570</v>
      </c>
      <c r="AH102" s="4" t="s">
        <v>560</v>
      </c>
      <c r="AI102" s="107">
        <v>21</v>
      </c>
      <c r="AJ102" s="107">
        <v>12.6</v>
      </c>
      <c r="AK102" s="107">
        <v>21</v>
      </c>
      <c r="AL102" s="107">
        <v>2.1</v>
      </c>
      <c r="AM102" s="107">
        <v>6</v>
      </c>
      <c r="AN102" s="108">
        <v>7840</v>
      </c>
    </row>
    <row r="103" spans="2:40" x14ac:dyDescent="0.15">
      <c r="B103" s="113"/>
      <c r="C103" s="9"/>
      <c r="D103" s="9"/>
      <c r="E103" s="9"/>
      <c r="F103" s="98"/>
      <c r="G103" s="98"/>
      <c r="H103" s="98"/>
      <c r="I103" s="98"/>
      <c r="J103" s="98"/>
      <c r="K103" s="55"/>
      <c r="L103" s="55"/>
      <c r="M103" s="55"/>
      <c r="N103" s="55"/>
      <c r="O103" s="55"/>
      <c r="P103" s="55"/>
      <c r="Q103" s="55"/>
      <c r="R103" s="55"/>
      <c r="S103" s="55"/>
      <c r="T103" s="55"/>
      <c r="U103" s="55"/>
      <c r="V103" s="55"/>
      <c r="W103" s="55"/>
      <c r="X103" s="55"/>
      <c r="Y103" s="55"/>
      <c r="Z103" s="55"/>
      <c r="AA103" s="55"/>
      <c r="AB103" s="55"/>
      <c r="AC103" s="55"/>
      <c r="AD103" s="55"/>
      <c r="AF103" s="106" t="s">
        <v>31</v>
      </c>
      <c r="AG103" s="4" t="s">
        <v>570</v>
      </c>
      <c r="AH103" s="4" t="s">
        <v>560</v>
      </c>
      <c r="AI103" s="107">
        <v>21</v>
      </c>
      <c r="AJ103" s="107">
        <v>12.6</v>
      </c>
      <c r="AK103" s="107">
        <v>21</v>
      </c>
      <c r="AL103" s="107">
        <v>2.1</v>
      </c>
      <c r="AM103" s="107">
        <v>6</v>
      </c>
      <c r="AN103" s="108">
        <v>7840</v>
      </c>
    </row>
    <row r="104" spans="2:40" x14ac:dyDescent="0.15">
      <c r="B104" s="113"/>
      <c r="C104" s="9"/>
      <c r="D104" s="9"/>
      <c r="E104" s="9"/>
      <c r="F104" s="98"/>
      <c r="G104" s="98"/>
      <c r="H104" s="98"/>
      <c r="I104" s="98"/>
      <c r="J104" s="98"/>
      <c r="K104" s="55"/>
      <c r="L104" s="55"/>
      <c r="M104" s="55"/>
      <c r="N104" s="55"/>
      <c r="O104" s="55"/>
      <c r="P104" s="55"/>
      <c r="Q104" s="55"/>
      <c r="R104" s="55"/>
      <c r="S104" s="55"/>
      <c r="T104" s="55"/>
      <c r="U104" s="55"/>
      <c r="V104" s="55"/>
      <c r="W104" s="55"/>
      <c r="X104" s="55"/>
      <c r="Y104" s="55"/>
      <c r="Z104" s="55"/>
      <c r="AA104" s="55"/>
      <c r="AB104" s="55"/>
      <c r="AC104" s="55"/>
      <c r="AD104" s="55"/>
      <c r="AF104" s="106" t="s">
        <v>574</v>
      </c>
      <c r="AG104" s="4" t="s">
        <v>570</v>
      </c>
      <c r="AH104" s="4" t="s">
        <v>560</v>
      </c>
      <c r="AI104" s="107">
        <v>22.8</v>
      </c>
      <c r="AJ104" s="107">
        <v>13.8</v>
      </c>
      <c r="AK104" s="107">
        <v>22.8</v>
      </c>
      <c r="AL104" s="107">
        <v>1.8</v>
      </c>
      <c r="AM104" s="107">
        <v>6</v>
      </c>
      <c r="AN104" s="108">
        <v>6860</v>
      </c>
    </row>
    <row r="105" spans="2:40" x14ac:dyDescent="0.15">
      <c r="B105" s="113"/>
      <c r="C105" s="9"/>
      <c r="D105" s="9"/>
      <c r="E105" s="9"/>
      <c r="F105" s="98"/>
      <c r="G105" s="98"/>
      <c r="H105" s="98"/>
      <c r="I105" s="98"/>
      <c r="J105" s="98"/>
      <c r="K105" s="55"/>
      <c r="L105" s="55"/>
      <c r="M105" s="55"/>
      <c r="N105" s="55"/>
      <c r="O105" s="55"/>
      <c r="P105" s="55"/>
      <c r="Q105" s="55"/>
      <c r="R105" s="55"/>
      <c r="S105" s="55"/>
      <c r="T105" s="55"/>
      <c r="U105" s="55"/>
      <c r="V105" s="55"/>
      <c r="W105" s="55"/>
      <c r="X105" s="55"/>
      <c r="Y105" s="55"/>
      <c r="Z105" s="55"/>
      <c r="AA105" s="55"/>
      <c r="AB105" s="55"/>
      <c r="AC105" s="55"/>
      <c r="AD105" s="55"/>
      <c r="AF105" s="106" t="s">
        <v>33</v>
      </c>
      <c r="AG105" s="4" t="s">
        <v>570</v>
      </c>
      <c r="AH105" s="4" t="s">
        <v>560</v>
      </c>
      <c r="AI105" s="107">
        <v>22.8</v>
      </c>
      <c r="AJ105" s="107">
        <v>13.8</v>
      </c>
      <c r="AK105" s="107">
        <v>22.8</v>
      </c>
      <c r="AL105" s="107">
        <v>1.8</v>
      </c>
      <c r="AM105" s="107">
        <v>6</v>
      </c>
      <c r="AN105" s="108">
        <v>6860</v>
      </c>
    </row>
    <row r="106" spans="2:40" x14ac:dyDescent="0.15">
      <c r="B106" s="113"/>
      <c r="C106" s="9"/>
      <c r="D106" s="9"/>
      <c r="E106" s="9"/>
      <c r="F106" s="98"/>
      <c r="G106" s="98"/>
      <c r="H106" s="98"/>
      <c r="I106" s="98"/>
      <c r="J106" s="98"/>
      <c r="K106" s="55"/>
      <c r="L106" s="55"/>
      <c r="M106" s="55"/>
      <c r="N106" s="55"/>
      <c r="O106" s="55"/>
      <c r="P106" s="55"/>
      <c r="Q106" s="55"/>
      <c r="R106" s="55"/>
      <c r="S106" s="55"/>
      <c r="T106" s="55"/>
      <c r="U106" s="55"/>
      <c r="V106" s="55"/>
      <c r="W106" s="55"/>
      <c r="X106" s="55"/>
      <c r="Y106" s="55"/>
      <c r="Z106" s="55"/>
      <c r="AA106" s="55"/>
      <c r="AB106" s="55"/>
      <c r="AC106" s="55"/>
      <c r="AD106" s="55"/>
      <c r="AF106" s="106" t="s">
        <v>34</v>
      </c>
      <c r="AG106" s="4" t="s">
        <v>570</v>
      </c>
      <c r="AH106" s="4" t="s">
        <v>560</v>
      </c>
      <c r="AI106" s="107">
        <v>22.8</v>
      </c>
      <c r="AJ106" s="107">
        <v>13.8</v>
      </c>
      <c r="AK106" s="107">
        <v>22.8</v>
      </c>
      <c r="AL106" s="107">
        <v>1.8</v>
      </c>
      <c r="AM106" s="107">
        <v>6</v>
      </c>
      <c r="AN106" s="108">
        <v>6860</v>
      </c>
    </row>
    <row r="107" spans="2:40" x14ac:dyDescent="0.15">
      <c r="B107" s="113"/>
      <c r="C107" s="9"/>
      <c r="D107" s="9"/>
      <c r="E107" s="9"/>
      <c r="F107" s="98"/>
      <c r="G107" s="98"/>
      <c r="H107" s="98"/>
      <c r="I107" s="98"/>
      <c r="J107" s="98"/>
      <c r="K107" s="55"/>
      <c r="L107" s="55"/>
      <c r="M107" s="55"/>
      <c r="N107" s="55"/>
      <c r="O107" s="55"/>
      <c r="P107" s="55"/>
      <c r="Q107" s="55"/>
      <c r="R107" s="55"/>
      <c r="S107" s="55"/>
      <c r="T107" s="55"/>
      <c r="U107" s="55"/>
      <c r="V107" s="55"/>
      <c r="W107" s="55"/>
      <c r="X107" s="55"/>
      <c r="Y107" s="55"/>
      <c r="Z107" s="55"/>
      <c r="AA107" s="55"/>
      <c r="AB107" s="55"/>
      <c r="AC107" s="55"/>
      <c r="AD107" s="55"/>
      <c r="AF107" s="106"/>
      <c r="AG107" s="4"/>
      <c r="AH107" s="4"/>
      <c r="AI107" s="107"/>
      <c r="AJ107" s="107"/>
      <c r="AK107" s="107"/>
      <c r="AL107" s="107"/>
      <c r="AM107" s="107"/>
      <c r="AN107" s="108"/>
    </row>
    <row r="108" spans="2:40" x14ac:dyDescent="0.15">
      <c r="B108" s="113"/>
      <c r="C108" s="9"/>
      <c r="D108" s="9"/>
      <c r="E108" s="9"/>
      <c r="F108" s="98"/>
      <c r="G108" s="98"/>
      <c r="H108" s="98"/>
      <c r="I108" s="98"/>
      <c r="J108" s="98"/>
      <c r="K108" s="55"/>
      <c r="L108" s="55"/>
      <c r="M108" s="55"/>
      <c r="N108" s="55"/>
      <c r="O108" s="55"/>
      <c r="P108" s="55"/>
      <c r="Q108" s="55"/>
      <c r="R108" s="55"/>
      <c r="S108" s="55"/>
      <c r="T108" s="55"/>
      <c r="U108" s="55"/>
      <c r="V108" s="55"/>
      <c r="W108" s="55"/>
      <c r="X108" s="55"/>
      <c r="Y108" s="55"/>
      <c r="Z108" s="55"/>
      <c r="AA108" s="55"/>
      <c r="AB108" s="55"/>
      <c r="AC108" s="55"/>
      <c r="AD108" s="55"/>
      <c r="AF108" s="106"/>
      <c r="AG108" s="4"/>
      <c r="AH108" s="4"/>
      <c r="AI108" s="107"/>
      <c r="AJ108" s="107"/>
      <c r="AK108" s="107"/>
      <c r="AL108" s="107"/>
      <c r="AM108" s="107"/>
      <c r="AN108" s="108"/>
    </row>
    <row r="109" spans="2:40" x14ac:dyDescent="0.15">
      <c r="B109" s="113"/>
      <c r="C109" s="9"/>
      <c r="D109" s="9"/>
      <c r="E109" s="9"/>
      <c r="F109" s="98"/>
      <c r="G109" s="98"/>
      <c r="H109" s="98"/>
      <c r="I109" s="98"/>
      <c r="J109" s="98"/>
      <c r="K109" s="55"/>
      <c r="L109" s="55"/>
      <c r="M109" s="55"/>
      <c r="N109" s="55"/>
      <c r="O109" s="55"/>
      <c r="P109" s="55"/>
      <c r="Q109" s="55"/>
      <c r="R109" s="55"/>
      <c r="S109" s="55"/>
      <c r="T109" s="55"/>
      <c r="U109" s="55"/>
      <c r="V109" s="55"/>
      <c r="W109" s="55"/>
      <c r="X109" s="55"/>
      <c r="Y109" s="55"/>
      <c r="Z109" s="55"/>
      <c r="AA109" s="55"/>
      <c r="AB109" s="55"/>
      <c r="AC109" s="55"/>
      <c r="AD109" s="55"/>
      <c r="AF109" s="106"/>
      <c r="AG109" s="4"/>
      <c r="AH109" s="4"/>
      <c r="AI109" s="107"/>
      <c r="AJ109" s="107"/>
      <c r="AK109" s="107"/>
      <c r="AL109" s="107"/>
      <c r="AM109" s="107"/>
      <c r="AN109" s="108"/>
    </row>
    <row r="110" spans="2:40" x14ac:dyDescent="0.15">
      <c r="B110" s="113"/>
      <c r="C110" s="9"/>
      <c r="D110" s="9"/>
      <c r="E110" s="9"/>
      <c r="F110" s="98"/>
      <c r="G110" s="98"/>
      <c r="H110" s="98"/>
      <c r="I110" s="98"/>
      <c r="J110" s="98"/>
      <c r="K110" s="55"/>
      <c r="L110" s="55"/>
      <c r="M110" s="55"/>
      <c r="N110" s="55"/>
      <c r="O110" s="55"/>
      <c r="P110" s="55"/>
      <c r="Q110" s="55"/>
      <c r="R110" s="55"/>
      <c r="S110" s="55"/>
      <c r="T110" s="55"/>
      <c r="U110" s="55"/>
      <c r="V110" s="55"/>
      <c r="W110" s="55"/>
      <c r="X110" s="55"/>
      <c r="Y110" s="55"/>
      <c r="Z110" s="55"/>
      <c r="AA110" s="55"/>
      <c r="AB110" s="55"/>
      <c r="AC110" s="55"/>
      <c r="AD110" s="55"/>
      <c r="AF110" s="106"/>
      <c r="AG110" s="4"/>
      <c r="AH110" s="4"/>
      <c r="AI110" s="107"/>
      <c r="AJ110" s="107"/>
      <c r="AK110" s="107"/>
      <c r="AL110" s="107"/>
      <c r="AM110" s="107"/>
      <c r="AN110" s="108"/>
    </row>
    <row r="111" spans="2:40" ht="15" thickBot="1" x14ac:dyDescent="0.2">
      <c r="B111" s="113"/>
      <c r="C111" s="9"/>
      <c r="D111" s="9"/>
      <c r="E111" s="9"/>
      <c r="F111" s="98"/>
      <c r="G111" s="98"/>
      <c r="H111" s="98"/>
      <c r="I111" s="98"/>
      <c r="J111" s="98"/>
      <c r="K111" s="55"/>
      <c r="L111" s="55"/>
      <c r="M111" s="55"/>
      <c r="N111" s="55"/>
      <c r="O111" s="55"/>
      <c r="P111" s="55"/>
      <c r="Q111" s="55"/>
      <c r="R111" s="55"/>
      <c r="S111" s="55"/>
      <c r="T111" s="55"/>
      <c r="U111" s="55"/>
      <c r="V111" s="55"/>
      <c r="W111" s="55"/>
      <c r="X111" s="55"/>
      <c r="Y111" s="55"/>
      <c r="Z111" s="55"/>
      <c r="AA111" s="55"/>
      <c r="AB111" s="55"/>
      <c r="AC111" s="55"/>
      <c r="AD111" s="55"/>
      <c r="AF111" s="109"/>
      <c r="AG111" s="4"/>
      <c r="AH111" s="110"/>
      <c r="AI111" s="111"/>
      <c r="AJ111" s="111"/>
      <c r="AK111" s="111"/>
      <c r="AL111" s="111"/>
      <c r="AM111" s="111"/>
      <c r="AN111" s="112"/>
    </row>
    <row r="112" spans="2:40" x14ac:dyDescent="0.15">
      <c r="B112" s="113"/>
      <c r="C112" s="9"/>
      <c r="D112" s="9"/>
      <c r="E112" s="9"/>
      <c r="F112" s="98"/>
      <c r="G112" s="98"/>
      <c r="H112" s="98"/>
      <c r="I112" s="98"/>
      <c r="J112" s="98"/>
      <c r="K112" s="55"/>
      <c r="L112" s="55"/>
      <c r="M112" s="55"/>
      <c r="N112" s="55"/>
      <c r="O112" s="55"/>
      <c r="P112" s="55"/>
      <c r="Q112" s="55"/>
      <c r="R112" s="55"/>
      <c r="S112" s="55"/>
      <c r="T112" s="55"/>
      <c r="U112" s="55"/>
      <c r="V112" s="55"/>
      <c r="W112" s="55"/>
      <c r="X112" s="55"/>
      <c r="Y112" s="55"/>
      <c r="Z112" s="55"/>
      <c r="AA112" s="55"/>
      <c r="AB112" s="55"/>
      <c r="AC112" s="55"/>
      <c r="AD112" s="55"/>
    </row>
    <row r="113" spans="2:40" ht="15" thickBot="1" x14ac:dyDescent="0.2">
      <c r="B113" s="113"/>
      <c r="C113" s="9"/>
      <c r="D113" s="9"/>
      <c r="E113" s="9"/>
      <c r="F113" s="98"/>
      <c r="G113" s="98"/>
      <c r="H113" s="98"/>
      <c r="I113" s="98"/>
      <c r="J113" s="98"/>
      <c r="K113" s="55"/>
      <c r="L113" s="55"/>
      <c r="M113" s="55"/>
      <c r="N113" s="55"/>
      <c r="O113" s="55"/>
      <c r="P113" s="55"/>
      <c r="Q113" s="55"/>
      <c r="R113" s="55"/>
      <c r="S113" s="55"/>
      <c r="T113" s="55"/>
      <c r="U113" s="55"/>
      <c r="V113" s="55"/>
      <c r="W113" s="55"/>
      <c r="X113" s="55"/>
      <c r="Y113" s="55"/>
      <c r="Z113" s="55"/>
      <c r="AA113" s="55"/>
      <c r="AB113" s="55"/>
      <c r="AC113" s="55"/>
      <c r="AD113" s="55"/>
      <c r="AF113" s="99" t="s">
        <v>538</v>
      </c>
      <c r="AG113" s="23"/>
      <c r="AH113" s="23" t="s">
        <v>570</v>
      </c>
      <c r="AI113" s="9" t="s">
        <v>569</v>
      </c>
      <c r="AJ113" s="23"/>
      <c r="AK113" s="23"/>
      <c r="AL113" s="23"/>
      <c r="AM113" s="23"/>
      <c r="AN113" s="23"/>
    </row>
    <row r="114" spans="2:40" x14ac:dyDescent="0.15">
      <c r="B114" s="113"/>
      <c r="C114" s="9"/>
      <c r="D114" s="9"/>
      <c r="E114" s="9"/>
      <c r="F114" s="98"/>
      <c r="G114" s="98"/>
      <c r="H114" s="98"/>
      <c r="I114" s="98"/>
      <c r="J114" s="98"/>
      <c r="K114" s="55"/>
      <c r="L114" s="55"/>
      <c r="M114" s="55"/>
      <c r="N114" s="55"/>
      <c r="O114" s="55"/>
      <c r="P114" s="55"/>
      <c r="Q114" s="55"/>
      <c r="R114" s="55"/>
      <c r="S114" s="55"/>
      <c r="T114" s="55"/>
      <c r="U114" s="55"/>
      <c r="V114" s="55"/>
      <c r="W114" s="55"/>
      <c r="X114" s="55"/>
      <c r="Y114" s="55"/>
      <c r="Z114" s="55"/>
      <c r="AA114" s="55"/>
      <c r="AB114" s="55"/>
      <c r="AC114" s="55"/>
      <c r="AD114" s="55"/>
      <c r="AF114" s="1442" t="s">
        <v>15</v>
      </c>
      <c r="AG114" s="1448" t="s">
        <v>16</v>
      </c>
      <c r="AH114" s="1451" t="s">
        <v>17</v>
      </c>
      <c r="AI114" s="1438" t="s">
        <v>19</v>
      </c>
      <c r="AJ114" s="1454"/>
      <c r="AK114" s="1454"/>
      <c r="AL114" s="1454"/>
      <c r="AM114" s="1454"/>
      <c r="AN114" s="1455"/>
    </row>
    <row r="115" spans="2:40" x14ac:dyDescent="0.15">
      <c r="B115" s="113"/>
      <c r="C115" s="9"/>
      <c r="D115" s="9"/>
      <c r="E115" s="9"/>
      <c r="F115" s="98"/>
      <c r="G115" s="98"/>
      <c r="H115" s="98"/>
      <c r="I115" s="98"/>
      <c r="J115" s="98"/>
      <c r="K115" s="55"/>
      <c r="L115" s="55"/>
      <c r="M115" s="55"/>
      <c r="N115" s="55"/>
      <c r="O115" s="55"/>
      <c r="P115" s="55"/>
      <c r="Q115" s="55"/>
      <c r="R115" s="55"/>
      <c r="S115" s="55"/>
      <c r="T115" s="55"/>
      <c r="U115" s="55"/>
      <c r="V115" s="55"/>
      <c r="W115" s="55"/>
      <c r="X115" s="55"/>
      <c r="Y115" s="55"/>
      <c r="Z115" s="55"/>
      <c r="AA115" s="55"/>
      <c r="AB115" s="55"/>
      <c r="AC115" s="55"/>
      <c r="AD115" s="55"/>
      <c r="AF115" s="1443"/>
      <c r="AG115" s="1449"/>
      <c r="AH115" s="1452"/>
      <c r="AI115" s="733" t="s">
        <v>561</v>
      </c>
      <c r="AJ115" s="733" t="s">
        <v>562</v>
      </c>
      <c r="AK115" s="733" t="s">
        <v>563</v>
      </c>
      <c r="AL115" s="733" t="s">
        <v>564</v>
      </c>
      <c r="AM115" s="733" t="s">
        <v>565</v>
      </c>
      <c r="AN115" s="100" t="s">
        <v>566</v>
      </c>
    </row>
    <row r="116" spans="2:40" ht="15" thickBot="1" x14ac:dyDescent="0.2">
      <c r="B116" s="113"/>
      <c r="C116" s="9"/>
      <c r="D116" s="9"/>
      <c r="E116" s="9"/>
      <c r="F116" s="98"/>
      <c r="G116" s="98"/>
      <c r="H116" s="98"/>
      <c r="I116" s="98"/>
      <c r="J116" s="98"/>
      <c r="K116" s="55"/>
      <c r="L116" s="55"/>
      <c r="M116" s="55"/>
      <c r="N116" s="55"/>
      <c r="O116" s="55"/>
      <c r="P116" s="55"/>
      <c r="Q116" s="55"/>
      <c r="R116" s="55"/>
      <c r="S116" s="55"/>
      <c r="T116" s="55"/>
      <c r="U116" s="55"/>
      <c r="V116" s="55"/>
      <c r="W116" s="55"/>
      <c r="X116" s="55"/>
      <c r="Y116" s="55"/>
      <c r="Z116" s="55"/>
      <c r="AA116" s="55"/>
      <c r="AB116" s="55"/>
      <c r="AC116" s="55"/>
      <c r="AD116" s="55"/>
      <c r="AF116" s="101"/>
      <c r="AG116" s="1450"/>
      <c r="AH116" s="1453"/>
      <c r="AI116" s="734" t="s">
        <v>1</v>
      </c>
      <c r="AJ116" s="734" t="s">
        <v>3</v>
      </c>
      <c r="AK116" s="734" t="s">
        <v>2</v>
      </c>
      <c r="AL116" s="734" t="s">
        <v>4</v>
      </c>
      <c r="AM116" s="734" t="s">
        <v>244</v>
      </c>
      <c r="AN116" s="102" t="s">
        <v>20</v>
      </c>
    </row>
    <row r="117" spans="2:40" x14ac:dyDescent="0.15">
      <c r="B117" s="113"/>
      <c r="C117" s="9"/>
      <c r="D117" s="9"/>
      <c r="E117" s="9"/>
      <c r="F117" s="98"/>
      <c r="G117" s="98"/>
      <c r="H117" s="98"/>
      <c r="I117" s="98"/>
      <c r="J117" s="98"/>
      <c r="K117" s="55"/>
      <c r="L117" s="55"/>
      <c r="M117" s="55"/>
      <c r="N117" s="55"/>
      <c r="O117" s="55"/>
      <c r="P117" s="55"/>
      <c r="Q117" s="55"/>
      <c r="R117" s="55"/>
      <c r="S117" s="55"/>
      <c r="T117" s="55"/>
      <c r="U117" s="55"/>
      <c r="V117" s="55"/>
      <c r="W117" s="55"/>
      <c r="X117" s="55"/>
      <c r="Y117" s="55"/>
      <c r="Z117" s="55"/>
      <c r="AA117" s="55"/>
      <c r="AB117" s="55"/>
      <c r="AC117" s="55"/>
      <c r="AD117" s="55"/>
      <c r="AF117" s="103" t="s">
        <v>23</v>
      </c>
      <c r="AG117" s="114" t="s">
        <v>570</v>
      </c>
      <c r="AH117" s="114" t="s">
        <v>569</v>
      </c>
      <c r="AI117" s="104">
        <v>18</v>
      </c>
      <c r="AJ117" s="104">
        <v>10.8</v>
      </c>
      <c r="AK117" s="104">
        <v>18</v>
      </c>
      <c r="AL117" s="104">
        <v>1.8</v>
      </c>
      <c r="AM117" s="104">
        <v>6</v>
      </c>
      <c r="AN117" s="105">
        <v>6860</v>
      </c>
    </row>
    <row r="118" spans="2:40" x14ac:dyDescent="0.15">
      <c r="B118" s="113"/>
      <c r="C118" s="9"/>
      <c r="D118" s="9"/>
      <c r="E118" s="9"/>
      <c r="F118" s="98"/>
      <c r="G118" s="98"/>
      <c r="H118" s="98"/>
      <c r="I118" s="98"/>
      <c r="J118" s="98"/>
      <c r="K118" s="55"/>
      <c r="L118" s="55"/>
      <c r="M118" s="55"/>
      <c r="N118" s="55"/>
      <c r="O118" s="55"/>
      <c r="P118" s="55"/>
      <c r="Q118" s="55"/>
      <c r="R118" s="55"/>
      <c r="S118" s="55"/>
      <c r="T118" s="55"/>
      <c r="U118" s="55"/>
      <c r="V118" s="55"/>
      <c r="W118" s="55"/>
      <c r="X118" s="55"/>
      <c r="Y118" s="55"/>
      <c r="Z118" s="55"/>
      <c r="AA118" s="55"/>
      <c r="AB118" s="55"/>
      <c r="AC118" s="55"/>
      <c r="AD118" s="55"/>
      <c r="AF118" s="106" t="s">
        <v>24</v>
      </c>
      <c r="AG118" s="4" t="s">
        <v>570</v>
      </c>
      <c r="AH118" s="4" t="s">
        <v>569</v>
      </c>
      <c r="AI118" s="107">
        <v>23.4</v>
      </c>
      <c r="AJ118" s="107">
        <v>13.8</v>
      </c>
      <c r="AK118" s="107">
        <v>23.4</v>
      </c>
      <c r="AL118" s="107">
        <v>2.1</v>
      </c>
      <c r="AM118" s="107">
        <v>7.8</v>
      </c>
      <c r="AN118" s="108">
        <v>8820</v>
      </c>
    </row>
    <row r="119" spans="2:40" x14ac:dyDescent="0.15">
      <c r="B119" s="113"/>
      <c r="C119" s="9"/>
      <c r="D119" s="9"/>
      <c r="E119" s="9"/>
      <c r="F119" s="98"/>
      <c r="G119" s="98"/>
      <c r="H119" s="98"/>
      <c r="I119" s="98"/>
      <c r="J119" s="98"/>
      <c r="K119" s="55"/>
      <c r="L119" s="55"/>
      <c r="M119" s="55"/>
      <c r="N119" s="55"/>
      <c r="O119" s="55"/>
      <c r="P119" s="55"/>
      <c r="Q119" s="55"/>
      <c r="R119" s="55"/>
      <c r="S119" s="55"/>
      <c r="T119" s="55"/>
      <c r="U119" s="55"/>
      <c r="V119" s="55"/>
      <c r="W119" s="55"/>
      <c r="X119" s="55"/>
      <c r="Y119" s="55"/>
      <c r="Z119" s="55"/>
      <c r="AA119" s="55"/>
      <c r="AB119" s="55"/>
      <c r="AC119" s="55"/>
      <c r="AD119" s="55"/>
      <c r="AF119" s="106" t="s">
        <v>25</v>
      </c>
      <c r="AG119" s="4" t="s">
        <v>570</v>
      </c>
      <c r="AH119" s="4" t="s">
        <v>569</v>
      </c>
      <c r="AI119" s="107">
        <v>13.8</v>
      </c>
      <c r="AJ119" s="107">
        <v>8.4</v>
      </c>
      <c r="AK119" s="107">
        <v>13.8</v>
      </c>
      <c r="AL119" s="107">
        <v>2.4</v>
      </c>
      <c r="AM119" s="107">
        <v>9</v>
      </c>
      <c r="AN119" s="108">
        <v>9800</v>
      </c>
    </row>
    <row r="120" spans="2:40" x14ac:dyDescent="0.15">
      <c r="B120" s="113"/>
      <c r="C120" s="9"/>
      <c r="D120" s="9"/>
      <c r="E120" s="9"/>
      <c r="F120" s="98"/>
      <c r="G120" s="98"/>
      <c r="H120" s="98"/>
      <c r="I120" s="98"/>
      <c r="J120" s="98"/>
      <c r="K120" s="55"/>
      <c r="L120" s="55"/>
      <c r="M120" s="55"/>
      <c r="N120" s="55"/>
      <c r="O120" s="55"/>
      <c r="P120" s="55"/>
      <c r="Q120" s="55"/>
      <c r="R120" s="55"/>
      <c r="S120" s="55"/>
      <c r="T120" s="55"/>
      <c r="U120" s="55"/>
      <c r="V120" s="55"/>
      <c r="W120" s="55"/>
      <c r="X120" s="55"/>
      <c r="Y120" s="55"/>
      <c r="Z120" s="55"/>
      <c r="AA120" s="55"/>
      <c r="AB120" s="55"/>
      <c r="AC120" s="55"/>
      <c r="AD120" s="55"/>
      <c r="AF120" s="106" t="s">
        <v>26</v>
      </c>
      <c r="AG120" s="4" t="s">
        <v>570</v>
      </c>
      <c r="AH120" s="4" t="s">
        <v>569</v>
      </c>
      <c r="AI120" s="107">
        <v>11.4</v>
      </c>
      <c r="AJ120" s="107">
        <v>7.2</v>
      </c>
      <c r="AK120" s="107">
        <v>11.4</v>
      </c>
      <c r="AL120" s="107">
        <v>2.4</v>
      </c>
      <c r="AM120" s="107">
        <v>9</v>
      </c>
      <c r="AN120" s="108">
        <v>7840</v>
      </c>
    </row>
    <row r="121" spans="2:40" x14ac:dyDescent="0.15">
      <c r="B121" s="113"/>
      <c r="C121" s="9"/>
      <c r="D121" s="9"/>
      <c r="E121" s="9"/>
      <c r="F121" s="98"/>
      <c r="G121" s="98"/>
      <c r="H121" s="98"/>
      <c r="I121" s="98"/>
      <c r="J121" s="98"/>
      <c r="K121" s="55"/>
      <c r="L121" s="55"/>
      <c r="M121" s="55"/>
      <c r="N121" s="55"/>
      <c r="O121" s="55"/>
      <c r="P121" s="55"/>
      <c r="Q121" s="55"/>
      <c r="R121" s="55"/>
      <c r="S121" s="55"/>
      <c r="T121" s="55"/>
      <c r="U121" s="55"/>
      <c r="V121" s="55"/>
      <c r="W121" s="55"/>
      <c r="X121" s="55"/>
      <c r="Y121" s="55"/>
      <c r="Z121" s="55"/>
      <c r="AA121" s="55"/>
      <c r="AB121" s="55"/>
      <c r="AC121" s="55"/>
      <c r="AD121" s="55"/>
      <c r="AF121" s="106" t="s">
        <v>27</v>
      </c>
      <c r="AG121" s="4" t="s">
        <v>570</v>
      </c>
      <c r="AH121" s="4" t="s">
        <v>569</v>
      </c>
      <c r="AI121" s="107">
        <v>11.4</v>
      </c>
      <c r="AJ121" s="107">
        <v>7.2</v>
      </c>
      <c r="AK121" s="107">
        <v>11.4</v>
      </c>
      <c r="AL121" s="107">
        <v>2.4</v>
      </c>
      <c r="AM121" s="107">
        <v>9</v>
      </c>
      <c r="AN121" s="108">
        <v>7840</v>
      </c>
    </row>
    <row r="122" spans="2:40" x14ac:dyDescent="0.15">
      <c r="B122" s="113"/>
      <c r="C122" s="9"/>
      <c r="D122" s="9"/>
      <c r="E122" s="9"/>
      <c r="F122" s="98"/>
      <c r="G122" s="98"/>
      <c r="H122" s="98"/>
      <c r="I122" s="98"/>
      <c r="J122" s="98"/>
      <c r="K122" s="55"/>
      <c r="L122" s="55"/>
      <c r="M122" s="55"/>
      <c r="N122" s="55"/>
      <c r="O122" s="55"/>
      <c r="P122" s="55"/>
      <c r="Q122" s="55"/>
      <c r="R122" s="55"/>
      <c r="S122" s="55"/>
      <c r="T122" s="55"/>
      <c r="U122" s="55"/>
      <c r="V122" s="55"/>
      <c r="W122" s="55"/>
      <c r="X122" s="55"/>
      <c r="Y122" s="55"/>
      <c r="Z122" s="55"/>
      <c r="AA122" s="55"/>
      <c r="AB122" s="55"/>
      <c r="AC122" s="55"/>
      <c r="AD122" s="55"/>
      <c r="AF122" s="106" t="s">
        <v>28</v>
      </c>
      <c r="AG122" s="4" t="s">
        <v>570</v>
      </c>
      <c r="AH122" s="4" t="s">
        <v>569</v>
      </c>
      <c r="AI122" s="107">
        <v>18.600000000000001</v>
      </c>
      <c r="AJ122" s="107">
        <v>10.8</v>
      </c>
      <c r="AK122" s="107">
        <v>17.399999999999999</v>
      </c>
      <c r="AL122" s="107">
        <v>2.1</v>
      </c>
      <c r="AM122" s="107">
        <v>7.8</v>
      </c>
      <c r="AN122" s="108">
        <v>7840</v>
      </c>
    </row>
    <row r="123" spans="2:40" x14ac:dyDescent="0.15">
      <c r="B123" s="113"/>
      <c r="C123" s="9"/>
      <c r="D123" s="9"/>
      <c r="E123" s="9"/>
      <c r="F123" s="98"/>
      <c r="G123" s="98"/>
      <c r="H123" s="98"/>
      <c r="I123" s="98"/>
      <c r="J123" s="98"/>
      <c r="K123" s="55"/>
      <c r="L123" s="55"/>
      <c r="M123" s="55"/>
      <c r="N123" s="55"/>
      <c r="O123" s="55"/>
      <c r="P123" s="55"/>
      <c r="Q123" s="55"/>
      <c r="R123" s="55"/>
      <c r="S123" s="55"/>
      <c r="T123" s="55"/>
      <c r="U123" s="55"/>
      <c r="V123" s="55"/>
      <c r="W123" s="55"/>
      <c r="X123" s="55"/>
      <c r="Y123" s="55"/>
      <c r="Z123" s="55"/>
      <c r="AA123" s="55"/>
      <c r="AB123" s="55"/>
      <c r="AC123" s="55"/>
      <c r="AD123" s="55"/>
      <c r="AF123" s="106" t="s">
        <v>556</v>
      </c>
      <c r="AG123" s="4" t="s">
        <v>570</v>
      </c>
      <c r="AH123" s="4" t="s">
        <v>569</v>
      </c>
      <c r="AI123" s="107">
        <v>23.4</v>
      </c>
      <c r="AJ123" s="107">
        <v>12.6</v>
      </c>
      <c r="AK123" s="107">
        <v>20.399999999999999</v>
      </c>
      <c r="AL123" s="107">
        <v>2.1</v>
      </c>
      <c r="AM123" s="107">
        <v>7.8</v>
      </c>
      <c r="AN123" s="108">
        <v>8820</v>
      </c>
    </row>
    <row r="124" spans="2:40" x14ac:dyDescent="0.15">
      <c r="B124" s="113"/>
      <c r="C124" s="9"/>
      <c r="D124" s="9"/>
      <c r="E124" s="9"/>
      <c r="F124" s="98"/>
      <c r="G124" s="98"/>
      <c r="H124" s="98"/>
      <c r="I124" s="98"/>
      <c r="J124" s="98"/>
      <c r="K124" s="55"/>
      <c r="L124" s="55"/>
      <c r="M124" s="55"/>
      <c r="N124" s="55"/>
      <c r="O124" s="55"/>
      <c r="P124" s="55"/>
      <c r="Q124" s="55"/>
      <c r="R124" s="55"/>
      <c r="S124" s="55"/>
      <c r="T124" s="55"/>
      <c r="U124" s="55"/>
      <c r="V124" s="55"/>
      <c r="W124" s="55"/>
      <c r="X124" s="55"/>
      <c r="Y124" s="55"/>
      <c r="Z124" s="55"/>
      <c r="AA124" s="55"/>
      <c r="AB124" s="55"/>
      <c r="AC124" s="55"/>
      <c r="AD124" s="55"/>
      <c r="AF124" s="106" t="s">
        <v>30</v>
      </c>
      <c r="AG124" s="4" t="s">
        <v>570</v>
      </c>
      <c r="AH124" s="4" t="s">
        <v>569</v>
      </c>
      <c r="AI124" s="107">
        <v>17.399999999999999</v>
      </c>
      <c r="AJ124" s="107">
        <v>10.199999999999999</v>
      </c>
      <c r="AK124" s="107">
        <v>17.399999999999999</v>
      </c>
      <c r="AL124" s="107">
        <v>2.1</v>
      </c>
      <c r="AM124" s="107">
        <v>6</v>
      </c>
      <c r="AN124" s="108">
        <v>7840</v>
      </c>
    </row>
    <row r="125" spans="2:40" x14ac:dyDescent="0.15">
      <c r="B125" s="113"/>
      <c r="C125" s="9"/>
      <c r="D125" s="9"/>
      <c r="E125" s="9"/>
      <c r="F125" s="98"/>
      <c r="G125" s="98"/>
      <c r="H125" s="98"/>
      <c r="I125" s="98"/>
      <c r="J125" s="98"/>
      <c r="K125" s="55"/>
      <c r="L125" s="55"/>
      <c r="M125" s="55"/>
      <c r="N125" s="55"/>
      <c r="O125" s="55"/>
      <c r="P125" s="55"/>
      <c r="Q125" s="55"/>
      <c r="R125" s="55"/>
      <c r="S125" s="55"/>
      <c r="T125" s="55"/>
      <c r="U125" s="55"/>
      <c r="V125" s="55"/>
      <c r="W125" s="55"/>
      <c r="X125" s="55"/>
      <c r="Y125" s="55"/>
      <c r="Z125" s="55"/>
      <c r="AA125" s="55"/>
      <c r="AB125" s="55"/>
      <c r="AC125" s="55"/>
      <c r="AD125" s="55"/>
      <c r="AF125" s="106" t="s">
        <v>31</v>
      </c>
      <c r="AG125" s="4" t="s">
        <v>570</v>
      </c>
      <c r="AH125" s="4" t="s">
        <v>569</v>
      </c>
      <c r="AI125" s="107">
        <v>17.399999999999999</v>
      </c>
      <c r="AJ125" s="107">
        <v>10.199999999999999</v>
      </c>
      <c r="AK125" s="107">
        <v>17.399999999999999</v>
      </c>
      <c r="AL125" s="107">
        <v>2.1</v>
      </c>
      <c r="AM125" s="107">
        <v>6</v>
      </c>
      <c r="AN125" s="108">
        <v>7840</v>
      </c>
    </row>
    <row r="126" spans="2:40" x14ac:dyDescent="0.15">
      <c r="B126" s="113"/>
      <c r="C126" s="9"/>
      <c r="D126" s="9"/>
      <c r="E126" s="9"/>
      <c r="F126" s="98"/>
      <c r="G126" s="98"/>
      <c r="H126" s="98"/>
      <c r="I126" s="98"/>
      <c r="J126" s="98"/>
      <c r="K126" s="55"/>
      <c r="L126" s="55"/>
      <c r="M126" s="55"/>
      <c r="N126" s="55"/>
      <c r="O126" s="55"/>
      <c r="P126" s="55"/>
      <c r="Q126" s="55"/>
      <c r="R126" s="55"/>
      <c r="S126" s="55"/>
      <c r="T126" s="55"/>
      <c r="U126" s="55"/>
      <c r="V126" s="55"/>
      <c r="W126" s="55"/>
      <c r="X126" s="55"/>
      <c r="Y126" s="55"/>
      <c r="Z126" s="55"/>
      <c r="AA126" s="55"/>
      <c r="AB126" s="55"/>
      <c r="AC126" s="55"/>
      <c r="AD126" s="55"/>
      <c r="AF126" s="106" t="s">
        <v>557</v>
      </c>
      <c r="AG126" s="4" t="s">
        <v>570</v>
      </c>
      <c r="AH126" s="4" t="s">
        <v>569</v>
      </c>
      <c r="AI126" s="107">
        <v>13.8</v>
      </c>
      <c r="AJ126" s="107">
        <v>5.4</v>
      </c>
      <c r="AK126" s="107">
        <v>9</v>
      </c>
      <c r="AL126" s="107">
        <v>1.8</v>
      </c>
      <c r="AM126" s="107">
        <v>6</v>
      </c>
      <c r="AN126" s="108">
        <v>6860</v>
      </c>
    </row>
    <row r="127" spans="2:40" x14ac:dyDescent="0.15">
      <c r="B127" s="113"/>
      <c r="C127" s="9"/>
      <c r="D127" s="9"/>
      <c r="E127" s="9"/>
      <c r="F127" s="98"/>
      <c r="G127" s="98"/>
      <c r="H127" s="98"/>
      <c r="I127" s="98"/>
      <c r="J127" s="98"/>
      <c r="K127" s="55"/>
      <c r="L127" s="55"/>
      <c r="M127" s="55"/>
      <c r="N127" s="55"/>
      <c r="O127" s="55"/>
      <c r="P127" s="55"/>
      <c r="Q127" s="55"/>
      <c r="R127" s="55"/>
      <c r="S127" s="55"/>
      <c r="T127" s="55"/>
      <c r="U127" s="55"/>
      <c r="V127" s="55"/>
      <c r="W127" s="55"/>
      <c r="X127" s="55"/>
      <c r="Y127" s="55"/>
      <c r="Z127" s="55"/>
      <c r="AA127" s="55"/>
      <c r="AB127" s="55"/>
      <c r="AC127" s="55"/>
      <c r="AD127" s="55"/>
      <c r="AF127" s="106" t="s">
        <v>33</v>
      </c>
      <c r="AG127" s="4" t="s">
        <v>570</v>
      </c>
      <c r="AH127" s="4" t="s">
        <v>569</v>
      </c>
      <c r="AI127" s="107">
        <v>13.8</v>
      </c>
      <c r="AJ127" s="107">
        <v>5.4</v>
      </c>
      <c r="AK127" s="107">
        <v>9</v>
      </c>
      <c r="AL127" s="107">
        <v>1.8</v>
      </c>
      <c r="AM127" s="107">
        <v>6</v>
      </c>
      <c r="AN127" s="108">
        <v>6860</v>
      </c>
    </row>
    <row r="128" spans="2:40" x14ac:dyDescent="0.15">
      <c r="B128" s="113"/>
      <c r="C128" s="9"/>
      <c r="D128" s="9"/>
      <c r="E128" s="9"/>
      <c r="F128" s="98"/>
      <c r="G128" s="98"/>
      <c r="H128" s="98"/>
      <c r="I128" s="98"/>
      <c r="J128" s="98"/>
      <c r="K128" s="55"/>
      <c r="L128" s="55"/>
      <c r="M128" s="55"/>
      <c r="N128" s="55"/>
      <c r="O128" s="55"/>
      <c r="P128" s="55"/>
      <c r="Q128" s="55"/>
      <c r="R128" s="55"/>
      <c r="S128" s="55"/>
      <c r="T128" s="55"/>
      <c r="U128" s="55"/>
      <c r="V128" s="55"/>
      <c r="W128" s="55"/>
      <c r="X128" s="55"/>
      <c r="Y128" s="55"/>
      <c r="Z128" s="55"/>
      <c r="AA128" s="55"/>
      <c r="AB128" s="55"/>
      <c r="AC128" s="55"/>
      <c r="AD128" s="55"/>
      <c r="AF128" s="106" t="s">
        <v>34</v>
      </c>
      <c r="AG128" s="4" t="s">
        <v>570</v>
      </c>
      <c r="AH128" s="4" t="s">
        <v>569</v>
      </c>
      <c r="AI128" s="107">
        <v>13.8</v>
      </c>
      <c r="AJ128" s="107">
        <v>5.4</v>
      </c>
      <c r="AK128" s="107">
        <v>9</v>
      </c>
      <c r="AL128" s="107">
        <v>1.8</v>
      </c>
      <c r="AM128" s="107">
        <v>6</v>
      </c>
      <c r="AN128" s="108">
        <v>6860</v>
      </c>
    </row>
    <row r="129" spans="2:40" x14ac:dyDescent="0.15">
      <c r="B129" s="113"/>
      <c r="C129" s="9"/>
      <c r="D129" s="9"/>
      <c r="E129" s="9"/>
      <c r="F129" s="98"/>
      <c r="G129" s="98"/>
      <c r="H129" s="98"/>
      <c r="I129" s="98"/>
      <c r="J129" s="98"/>
      <c r="K129" s="55"/>
      <c r="L129" s="55"/>
      <c r="M129" s="55"/>
      <c r="N129" s="55"/>
      <c r="O129" s="55"/>
      <c r="P129" s="55"/>
      <c r="Q129" s="55"/>
      <c r="R129" s="55"/>
      <c r="S129" s="55"/>
      <c r="T129" s="55"/>
      <c r="U129" s="55"/>
      <c r="V129" s="55"/>
      <c r="W129" s="55"/>
      <c r="X129" s="55"/>
      <c r="Y129" s="55"/>
      <c r="Z129" s="55"/>
      <c r="AA129" s="55"/>
      <c r="AB129" s="55"/>
      <c r="AC129" s="55"/>
      <c r="AD129" s="55"/>
      <c r="AF129" s="106"/>
      <c r="AG129" s="4"/>
      <c r="AH129" s="4"/>
      <c r="AI129" s="107"/>
      <c r="AJ129" s="107"/>
      <c r="AK129" s="107"/>
      <c r="AL129" s="107"/>
      <c r="AM129" s="107"/>
      <c r="AN129" s="108"/>
    </row>
    <row r="130" spans="2:40" x14ac:dyDescent="0.15">
      <c r="B130" s="113"/>
      <c r="C130" s="9"/>
      <c r="D130" s="9"/>
      <c r="E130" s="9"/>
      <c r="F130" s="98"/>
      <c r="G130" s="98"/>
      <c r="H130" s="98"/>
      <c r="I130" s="98"/>
      <c r="J130" s="98"/>
      <c r="K130" s="55"/>
      <c r="L130" s="55"/>
      <c r="M130" s="55"/>
      <c r="N130" s="55"/>
      <c r="O130" s="55"/>
      <c r="P130" s="55"/>
      <c r="Q130" s="55"/>
      <c r="R130" s="55"/>
      <c r="S130" s="55"/>
      <c r="T130" s="55"/>
      <c r="U130" s="55"/>
      <c r="V130" s="55"/>
      <c r="W130" s="55"/>
      <c r="X130" s="55"/>
      <c r="Y130" s="55"/>
      <c r="Z130" s="55"/>
      <c r="AA130" s="55"/>
      <c r="AB130" s="55"/>
      <c r="AC130" s="55"/>
      <c r="AD130" s="55"/>
      <c r="AF130" s="106"/>
      <c r="AG130" s="4"/>
      <c r="AH130" s="4"/>
      <c r="AI130" s="107"/>
      <c r="AJ130" s="107"/>
      <c r="AK130" s="107"/>
      <c r="AL130" s="107"/>
      <c r="AM130" s="107"/>
      <c r="AN130" s="108"/>
    </row>
    <row r="131" spans="2:40" x14ac:dyDescent="0.15">
      <c r="B131" s="113"/>
      <c r="C131" s="9"/>
      <c r="D131" s="9"/>
      <c r="E131" s="9"/>
      <c r="F131" s="98"/>
      <c r="G131" s="98"/>
      <c r="H131" s="98"/>
      <c r="I131" s="98"/>
      <c r="J131" s="98"/>
      <c r="K131" s="55"/>
      <c r="L131" s="55"/>
      <c r="M131" s="55"/>
      <c r="N131" s="55"/>
      <c r="O131" s="55"/>
      <c r="P131" s="55"/>
      <c r="Q131" s="55"/>
      <c r="R131" s="55"/>
      <c r="S131" s="55"/>
      <c r="T131" s="55"/>
      <c r="U131" s="55"/>
      <c r="V131" s="55"/>
      <c r="W131" s="55"/>
      <c r="X131" s="55"/>
      <c r="Y131" s="55"/>
      <c r="Z131" s="55"/>
      <c r="AA131" s="55"/>
      <c r="AB131" s="55"/>
      <c r="AC131" s="55"/>
      <c r="AD131" s="55"/>
      <c r="AF131" s="106"/>
      <c r="AG131" s="4"/>
      <c r="AH131" s="4"/>
      <c r="AI131" s="107"/>
      <c r="AJ131" s="107"/>
      <c r="AK131" s="107"/>
      <c r="AL131" s="107"/>
      <c r="AM131" s="107"/>
      <c r="AN131" s="108"/>
    </row>
    <row r="132" spans="2:40" x14ac:dyDescent="0.15">
      <c r="B132" s="113"/>
      <c r="C132" s="9"/>
      <c r="D132" s="9"/>
      <c r="E132" s="9"/>
      <c r="F132" s="98"/>
      <c r="G132" s="98"/>
      <c r="H132" s="98"/>
      <c r="I132" s="98"/>
      <c r="J132" s="98"/>
      <c r="K132" s="55"/>
      <c r="L132" s="55"/>
      <c r="M132" s="55"/>
      <c r="N132" s="55"/>
      <c r="O132" s="55"/>
      <c r="P132" s="55"/>
      <c r="Q132" s="55"/>
      <c r="R132" s="55"/>
      <c r="S132" s="55"/>
      <c r="T132" s="55"/>
      <c r="U132" s="55"/>
      <c r="V132" s="55"/>
      <c r="W132" s="55"/>
      <c r="X132" s="55"/>
      <c r="Y132" s="55"/>
      <c r="Z132" s="55"/>
      <c r="AA132" s="55"/>
      <c r="AB132" s="55"/>
      <c r="AC132" s="55"/>
      <c r="AD132" s="55"/>
      <c r="AF132" s="106"/>
      <c r="AG132" s="4"/>
      <c r="AH132" s="4"/>
      <c r="AI132" s="107"/>
      <c r="AJ132" s="107"/>
      <c r="AK132" s="107"/>
      <c r="AL132" s="107"/>
      <c r="AM132" s="107"/>
      <c r="AN132" s="108"/>
    </row>
    <row r="133" spans="2:40" ht="15" thickBot="1" x14ac:dyDescent="0.2">
      <c r="B133" s="113"/>
      <c r="C133" s="9"/>
      <c r="D133" s="9"/>
      <c r="E133" s="9"/>
      <c r="F133" s="98"/>
      <c r="G133" s="98"/>
      <c r="H133" s="98"/>
      <c r="I133" s="98"/>
      <c r="J133" s="98"/>
      <c r="K133" s="55"/>
      <c r="L133" s="55"/>
      <c r="M133" s="55"/>
      <c r="N133" s="55"/>
      <c r="O133" s="55"/>
      <c r="P133" s="55"/>
      <c r="Q133" s="55"/>
      <c r="R133" s="55"/>
      <c r="S133" s="55"/>
      <c r="T133" s="55"/>
      <c r="U133" s="55"/>
      <c r="V133" s="55"/>
      <c r="W133" s="55"/>
      <c r="X133" s="55"/>
      <c r="Y133" s="55"/>
      <c r="Z133" s="55"/>
      <c r="AA133" s="55"/>
      <c r="AB133" s="55"/>
      <c r="AC133" s="55"/>
      <c r="AD133" s="55"/>
      <c r="AF133" s="109"/>
      <c r="AG133" s="110"/>
      <c r="AH133" s="110"/>
      <c r="AI133" s="111"/>
      <c r="AJ133" s="111"/>
      <c r="AK133" s="111"/>
      <c r="AL133" s="111"/>
      <c r="AM133" s="111"/>
      <c r="AN133" s="112"/>
    </row>
    <row r="134" spans="2:40" x14ac:dyDescent="0.15">
      <c r="B134" s="113"/>
      <c r="C134" s="9"/>
      <c r="D134" s="9"/>
      <c r="E134" s="9"/>
      <c r="F134" s="98"/>
      <c r="G134" s="98"/>
      <c r="H134" s="98"/>
      <c r="I134" s="98"/>
      <c r="J134" s="98"/>
      <c r="K134" s="55"/>
      <c r="L134" s="55"/>
      <c r="M134" s="55"/>
      <c r="N134" s="55"/>
      <c r="O134" s="55"/>
      <c r="P134" s="55"/>
      <c r="Q134" s="55"/>
      <c r="R134" s="55"/>
      <c r="S134" s="55"/>
      <c r="T134" s="55"/>
      <c r="U134" s="55"/>
      <c r="V134" s="55"/>
      <c r="W134" s="55"/>
      <c r="X134" s="55"/>
      <c r="Y134" s="55"/>
      <c r="Z134" s="55"/>
      <c r="AA134" s="55"/>
      <c r="AB134" s="55"/>
      <c r="AC134" s="55"/>
      <c r="AD134" s="55"/>
    </row>
    <row r="135" spans="2:40" ht="15" thickBot="1" x14ac:dyDescent="0.2">
      <c r="B135" s="113"/>
      <c r="C135" s="9"/>
      <c r="D135" s="9"/>
      <c r="E135" s="9"/>
      <c r="F135" s="98"/>
      <c r="G135" s="98"/>
      <c r="H135" s="98"/>
      <c r="I135" s="98"/>
      <c r="J135" s="98"/>
      <c r="K135" s="55"/>
      <c r="L135" s="55"/>
      <c r="M135" s="55"/>
      <c r="N135" s="55"/>
      <c r="O135" s="55"/>
      <c r="P135" s="55"/>
      <c r="Q135" s="55"/>
      <c r="R135" s="55"/>
      <c r="S135" s="55"/>
      <c r="T135" s="55"/>
      <c r="U135" s="55"/>
      <c r="V135" s="55"/>
      <c r="W135" s="55"/>
      <c r="X135" s="55"/>
      <c r="Y135" s="55"/>
      <c r="Z135" s="55"/>
      <c r="AA135" s="55"/>
      <c r="AB135" s="55"/>
      <c r="AC135" s="55"/>
      <c r="AD135" s="55"/>
      <c r="AF135" s="115" t="s">
        <v>538</v>
      </c>
      <c r="AH135" s="116" t="s">
        <v>10</v>
      </c>
    </row>
    <row r="136" spans="2:40" x14ac:dyDescent="0.15">
      <c r="B136" s="113"/>
      <c r="C136" s="9"/>
      <c r="D136" s="9"/>
      <c r="E136" s="9"/>
      <c r="F136" s="98"/>
      <c r="G136" s="98"/>
      <c r="H136" s="98"/>
      <c r="I136" s="98"/>
      <c r="J136" s="98"/>
      <c r="K136" s="55"/>
      <c r="L136" s="55"/>
      <c r="M136" s="55"/>
      <c r="N136" s="55"/>
      <c r="O136" s="55"/>
      <c r="P136" s="55"/>
      <c r="Q136" s="55"/>
      <c r="R136" s="55"/>
      <c r="S136" s="55"/>
      <c r="T136" s="55"/>
      <c r="U136" s="55"/>
      <c r="V136" s="55"/>
      <c r="W136" s="55"/>
      <c r="X136" s="55"/>
      <c r="Y136" s="55"/>
      <c r="Z136" s="55"/>
      <c r="AA136" s="55"/>
      <c r="AB136" s="55"/>
      <c r="AC136" s="55"/>
      <c r="AD136" s="55"/>
      <c r="AF136" s="1442" t="s">
        <v>15</v>
      </c>
      <c r="AG136" s="1448" t="s">
        <v>16</v>
      </c>
      <c r="AH136" s="1451" t="s">
        <v>17</v>
      </c>
      <c r="AI136" s="1438" t="s">
        <v>19</v>
      </c>
      <c r="AJ136" s="1454"/>
      <c r="AK136" s="1454"/>
      <c r="AL136" s="1454"/>
      <c r="AM136" s="1454"/>
      <c r="AN136" s="1455"/>
    </row>
    <row r="137" spans="2:40" x14ac:dyDescent="0.15">
      <c r="B137" s="113"/>
      <c r="C137" s="9"/>
      <c r="D137" s="9"/>
      <c r="E137" s="9"/>
      <c r="F137" s="98"/>
      <c r="G137" s="98"/>
      <c r="H137" s="98"/>
      <c r="I137" s="98"/>
      <c r="J137" s="98"/>
      <c r="K137" s="55"/>
      <c r="L137" s="55"/>
      <c r="M137" s="55"/>
      <c r="N137" s="55"/>
      <c r="O137" s="55"/>
      <c r="P137" s="55"/>
      <c r="Q137" s="55"/>
      <c r="R137" s="55"/>
      <c r="S137" s="55"/>
      <c r="T137" s="55"/>
      <c r="U137" s="55"/>
      <c r="V137" s="55"/>
      <c r="W137" s="55"/>
      <c r="X137" s="55"/>
      <c r="Y137" s="55"/>
      <c r="Z137" s="55"/>
      <c r="AA137" s="55"/>
      <c r="AB137" s="55"/>
      <c r="AC137" s="55"/>
      <c r="AD137" s="55"/>
      <c r="AF137" s="1443"/>
      <c r="AG137" s="1449"/>
      <c r="AH137" s="1452"/>
      <c r="AI137" s="733" t="s">
        <v>575</v>
      </c>
      <c r="AJ137" s="733" t="s">
        <v>576</v>
      </c>
      <c r="AK137" s="733" t="s">
        <v>577</v>
      </c>
      <c r="AL137" s="733" t="s">
        <v>578</v>
      </c>
      <c r="AM137" s="733" t="s">
        <v>579</v>
      </c>
      <c r="AN137" s="100" t="s">
        <v>580</v>
      </c>
    </row>
    <row r="138" spans="2:40" ht="15" thickBot="1" x14ac:dyDescent="0.2">
      <c r="B138" s="113"/>
      <c r="C138" s="9"/>
      <c r="D138" s="9"/>
      <c r="E138" s="9"/>
      <c r="F138" s="98"/>
      <c r="G138" s="98"/>
      <c r="H138" s="98"/>
      <c r="I138" s="98"/>
      <c r="J138" s="98"/>
      <c r="K138" s="55"/>
      <c r="L138" s="55"/>
      <c r="M138" s="55"/>
      <c r="N138" s="55"/>
      <c r="O138" s="55"/>
      <c r="P138" s="55"/>
      <c r="Q138" s="55"/>
      <c r="R138" s="55"/>
      <c r="S138" s="55"/>
      <c r="T138" s="55"/>
      <c r="U138" s="55"/>
      <c r="V138" s="55"/>
      <c r="W138" s="55"/>
      <c r="X138" s="55"/>
      <c r="Y138" s="55"/>
      <c r="Z138" s="55"/>
      <c r="AA138" s="55"/>
      <c r="AB138" s="55"/>
      <c r="AC138" s="55"/>
      <c r="AD138" s="55"/>
      <c r="AF138" s="101"/>
      <c r="AG138" s="1450"/>
      <c r="AH138" s="1453"/>
      <c r="AI138" s="734" t="s">
        <v>1</v>
      </c>
      <c r="AJ138" s="734" t="s">
        <v>3</v>
      </c>
      <c r="AK138" s="734" t="s">
        <v>2</v>
      </c>
      <c r="AL138" s="734" t="s">
        <v>4</v>
      </c>
      <c r="AM138" s="734" t="s">
        <v>244</v>
      </c>
      <c r="AN138" s="102" t="s">
        <v>20</v>
      </c>
    </row>
    <row r="139" spans="2:40" x14ac:dyDescent="0.15">
      <c r="B139" s="113"/>
      <c r="C139" s="9"/>
      <c r="D139" s="9"/>
      <c r="E139" s="9"/>
      <c r="F139" s="98"/>
      <c r="G139" s="98"/>
      <c r="H139" s="98"/>
      <c r="I139" s="98"/>
      <c r="J139" s="98"/>
      <c r="K139" s="55"/>
      <c r="L139" s="55"/>
      <c r="M139" s="55"/>
      <c r="N139" s="55"/>
      <c r="O139" s="55"/>
      <c r="P139" s="55"/>
      <c r="Q139" s="55"/>
      <c r="R139" s="55"/>
      <c r="S139" s="55"/>
      <c r="T139" s="55"/>
      <c r="U139" s="55"/>
      <c r="V139" s="55"/>
      <c r="W139" s="55"/>
      <c r="X139" s="55"/>
      <c r="Y139" s="55"/>
      <c r="Z139" s="55"/>
      <c r="AA139" s="55"/>
      <c r="AB139" s="55"/>
      <c r="AC139" s="55"/>
      <c r="AD139" s="55"/>
      <c r="AF139" s="103" t="s">
        <v>23</v>
      </c>
      <c r="AG139" s="117" t="s">
        <v>21</v>
      </c>
      <c r="AH139" s="117" t="s">
        <v>22</v>
      </c>
      <c r="AI139" s="104">
        <v>17.7</v>
      </c>
      <c r="AJ139" s="104">
        <v>13.5</v>
      </c>
      <c r="AK139" s="104">
        <v>22.2</v>
      </c>
      <c r="AL139" s="104">
        <v>1.8</v>
      </c>
      <c r="AM139" s="104">
        <v>6</v>
      </c>
      <c r="AN139" s="105">
        <v>6860</v>
      </c>
    </row>
    <row r="140" spans="2:40" x14ac:dyDescent="0.15">
      <c r="B140" s="113"/>
      <c r="C140" s="9"/>
      <c r="D140" s="9"/>
      <c r="E140" s="9"/>
      <c r="F140" s="98"/>
      <c r="G140" s="98"/>
      <c r="H140" s="98"/>
      <c r="I140" s="98"/>
      <c r="J140" s="98"/>
      <c r="K140" s="55"/>
      <c r="L140" s="55"/>
      <c r="M140" s="55"/>
      <c r="N140" s="55"/>
      <c r="O140" s="55"/>
      <c r="P140" s="55"/>
      <c r="Q140" s="55"/>
      <c r="R140" s="55"/>
      <c r="S140" s="55"/>
      <c r="T140" s="55"/>
      <c r="U140" s="55"/>
      <c r="V140" s="55"/>
      <c r="W140" s="55"/>
      <c r="X140" s="55"/>
      <c r="Y140" s="55"/>
      <c r="Z140" s="55"/>
      <c r="AA140" s="55"/>
      <c r="AB140" s="55"/>
      <c r="AC140" s="55"/>
      <c r="AD140" s="55"/>
      <c r="AF140" s="106" t="s">
        <v>24</v>
      </c>
      <c r="AG140" s="4" t="s">
        <v>21</v>
      </c>
      <c r="AH140" s="4" t="s">
        <v>22</v>
      </c>
      <c r="AI140" s="107">
        <v>20.7</v>
      </c>
      <c r="AJ140" s="107">
        <v>16.2</v>
      </c>
      <c r="AK140" s="107">
        <v>26.7</v>
      </c>
      <c r="AL140" s="107">
        <v>2.1</v>
      </c>
      <c r="AM140" s="107">
        <v>7.8</v>
      </c>
      <c r="AN140" s="108">
        <v>8820</v>
      </c>
    </row>
    <row r="141" spans="2:40" x14ac:dyDescent="0.15">
      <c r="B141" s="113"/>
      <c r="C141" s="9"/>
      <c r="D141" s="9"/>
      <c r="E141" s="9"/>
      <c r="F141" s="98"/>
      <c r="G141" s="98"/>
      <c r="H141" s="98"/>
      <c r="I141" s="98"/>
      <c r="J141" s="98"/>
      <c r="K141" s="55"/>
      <c r="L141" s="55"/>
      <c r="M141" s="55"/>
      <c r="N141" s="55"/>
      <c r="O141" s="55"/>
      <c r="P141" s="55"/>
      <c r="Q141" s="55"/>
      <c r="R141" s="55"/>
      <c r="S141" s="55"/>
      <c r="T141" s="55"/>
      <c r="U141" s="55"/>
      <c r="V141" s="55"/>
      <c r="W141" s="55"/>
      <c r="X141" s="55"/>
      <c r="Y141" s="55"/>
      <c r="Z141" s="55"/>
      <c r="AA141" s="55"/>
      <c r="AB141" s="55"/>
      <c r="AC141" s="55"/>
      <c r="AD141" s="55"/>
      <c r="AF141" s="106" t="s">
        <v>25</v>
      </c>
      <c r="AG141" s="4" t="s">
        <v>21</v>
      </c>
      <c r="AH141" s="4" t="s">
        <v>22</v>
      </c>
      <c r="AI141" s="107">
        <v>22.2</v>
      </c>
      <c r="AJ141" s="107">
        <v>17.7</v>
      </c>
      <c r="AK141" s="107">
        <v>28.2</v>
      </c>
      <c r="AL141" s="107">
        <v>2.4</v>
      </c>
      <c r="AM141" s="107">
        <v>9</v>
      </c>
      <c r="AN141" s="108">
        <v>9800</v>
      </c>
    </row>
    <row r="142" spans="2:40" x14ac:dyDescent="0.15">
      <c r="B142" s="113"/>
      <c r="C142" s="9"/>
      <c r="D142" s="9"/>
      <c r="E142" s="9"/>
      <c r="F142" s="98"/>
      <c r="G142" s="98"/>
      <c r="H142" s="98"/>
      <c r="I142" s="98"/>
      <c r="J142" s="98"/>
      <c r="K142" s="55"/>
      <c r="L142" s="55"/>
      <c r="M142" s="55"/>
      <c r="N142" s="55"/>
      <c r="O142" s="55"/>
      <c r="P142" s="55"/>
      <c r="Q142" s="55"/>
      <c r="R142" s="55"/>
      <c r="S142" s="55"/>
      <c r="T142" s="55"/>
      <c r="U142" s="55"/>
      <c r="V142" s="55"/>
      <c r="W142" s="55"/>
      <c r="X142" s="55"/>
      <c r="Y142" s="55"/>
      <c r="Z142" s="55"/>
      <c r="AA142" s="55"/>
      <c r="AB142" s="55"/>
      <c r="AC142" s="55"/>
      <c r="AD142" s="55"/>
      <c r="AF142" s="106" t="s">
        <v>26</v>
      </c>
      <c r="AG142" s="4" t="s">
        <v>21</v>
      </c>
      <c r="AH142" s="4" t="s">
        <v>22</v>
      </c>
      <c r="AI142" s="107">
        <v>22.2</v>
      </c>
      <c r="AJ142" s="107">
        <v>17.7</v>
      </c>
      <c r="AK142" s="107">
        <v>28.2</v>
      </c>
      <c r="AL142" s="107">
        <v>2.4</v>
      </c>
      <c r="AM142" s="107">
        <v>9</v>
      </c>
      <c r="AN142" s="108">
        <v>7840</v>
      </c>
    </row>
    <row r="143" spans="2:40" x14ac:dyDescent="0.15">
      <c r="B143" s="113"/>
      <c r="C143" s="9"/>
      <c r="D143" s="9"/>
      <c r="E143" s="9"/>
      <c r="F143" s="98"/>
      <c r="G143" s="98"/>
      <c r="H143" s="98"/>
      <c r="I143" s="98"/>
      <c r="J143" s="98"/>
      <c r="K143" s="55"/>
      <c r="L143" s="55"/>
      <c r="M143" s="55"/>
      <c r="N143" s="55"/>
      <c r="O143" s="55"/>
      <c r="P143" s="55"/>
      <c r="Q143" s="55"/>
      <c r="R143" s="55"/>
      <c r="S143" s="55"/>
      <c r="T143" s="55"/>
      <c r="U143" s="55"/>
      <c r="V143" s="55"/>
      <c r="W143" s="55"/>
      <c r="X143" s="55"/>
      <c r="Y143" s="55"/>
      <c r="Z143" s="55"/>
      <c r="AA143" s="55"/>
      <c r="AB143" s="55"/>
      <c r="AC143" s="55"/>
      <c r="AD143" s="55"/>
      <c r="AF143" s="106" t="s">
        <v>27</v>
      </c>
      <c r="AG143" s="4" t="s">
        <v>21</v>
      </c>
      <c r="AH143" s="4" t="s">
        <v>22</v>
      </c>
      <c r="AI143" s="107">
        <v>22.2</v>
      </c>
      <c r="AJ143" s="107">
        <v>17.7</v>
      </c>
      <c r="AK143" s="107">
        <v>28.2</v>
      </c>
      <c r="AL143" s="107">
        <v>2.4</v>
      </c>
      <c r="AM143" s="107">
        <v>9</v>
      </c>
      <c r="AN143" s="108">
        <v>7840</v>
      </c>
    </row>
    <row r="144" spans="2:40" x14ac:dyDescent="0.15">
      <c r="B144" s="113"/>
      <c r="C144" s="9"/>
      <c r="D144" s="9"/>
      <c r="E144" s="9"/>
      <c r="F144" s="98"/>
      <c r="G144" s="98"/>
      <c r="H144" s="98"/>
      <c r="I144" s="98"/>
      <c r="J144" s="98"/>
      <c r="K144" s="55"/>
      <c r="L144" s="55"/>
      <c r="M144" s="55"/>
      <c r="N144" s="55"/>
      <c r="O144" s="55"/>
      <c r="P144" s="55"/>
      <c r="Q144" s="55"/>
      <c r="R144" s="55"/>
      <c r="S144" s="55"/>
      <c r="T144" s="55"/>
      <c r="U144" s="55"/>
      <c r="V144" s="55"/>
      <c r="W144" s="55"/>
      <c r="X144" s="55"/>
      <c r="Y144" s="55"/>
      <c r="Z144" s="55"/>
      <c r="AA144" s="55"/>
      <c r="AB144" s="55"/>
      <c r="AC144" s="55"/>
      <c r="AD144" s="55"/>
      <c r="AF144" s="106" t="s">
        <v>28</v>
      </c>
      <c r="AG144" s="4" t="s">
        <v>21</v>
      </c>
      <c r="AH144" s="4" t="s">
        <v>22</v>
      </c>
      <c r="AI144" s="107">
        <v>20.7</v>
      </c>
      <c r="AJ144" s="107">
        <v>16.2</v>
      </c>
      <c r="AK144" s="107">
        <v>26.7</v>
      </c>
      <c r="AL144" s="107">
        <v>2.1</v>
      </c>
      <c r="AM144" s="107">
        <v>7.8</v>
      </c>
      <c r="AN144" s="108">
        <v>7840</v>
      </c>
    </row>
    <row r="145" spans="2:40" x14ac:dyDescent="0.15">
      <c r="B145" s="113"/>
      <c r="C145" s="9"/>
      <c r="D145" s="9"/>
      <c r="E145" s="9"/>
      <c r="F145" s="98"/>
      <c r="G145" s="98"/>
      <c r="H145" s="98"/>
      <c r="I145" s="98"/>
      <c r="J145" s="98"/>
      <c r="K145" s="55"/>
      <c r="L145" s="55"/>
      <c r="M145" s="55"/>
      <c r="N145" s="55"/>
      <c r="O145" s="55"/>
      <c r="P145" s="55"/>
      <c r="Q145" s="55"/>
      <c r="R145" s="55"/>
      <c r="S145" s="55"/>
      <c r="T145" s="55"/>
      <c r="U145" s="55"/>
      <c r="V145" s="55"/>
      <c r="W145" s="55"/>
      <c r="X145" s="55"/>
      <c r="Y145" s="55"/>
      <c r="Z145" s="55"/>
      <c r="AA145" s="55"/>
      <c r="AB145" s="55"/>
      <c r="AC145" s="55"/>
      <c r="AD145" s="55"/>
      <c r="AF145" s="106" t="s">
        <v>29</v>
      </c>
      <c r="AG145" s="4" t="s">
        <v>21</v>
      </c>
      <c r="AH145" s="4" t="s">
        <v>22</v>
      </c>
      <c r="AI145" s="107">
        <v>20.7</v>
      </c>
      <c r="AJ145" s="107">
        <v>16.2</v>
      </c>
      <c r="AK145" s="107">
        <v>26.7</v>
      </c>
      <c r="AL145" s="107">
        <v>2.1</v>
      </c>
      <c r="AM145" s="107">
        <v>7.8</v>
      </c>
      <c r="AN145" s="108">
        <v>8820</v>
      </c>
    </row>
    <row r="146" spans="2:40" x14ac:dyDescent="0.15">
      <c r="B146" s="113"/>
      <c r="C146" s="9"/>
      <c r="D146" s="9"/>
      <c r="E146" s="9"/>
      <c r="F146" s="98"/>
      <c r="G146" s="98"/>
      <c r="H146" s="98"/>
      <c r="I146" s="98"/>
      <c r="J146" s="98"/>
      <c r="K146" s="55"/>
      <c r="L146" s="55"/>
      <c r="M146" s="55"/>
      <c r="N146" s="55"/>
      <c r="O146" s="55"/>
      <c r="P146" s="55"/>
      <c r="Q146" s="55"/>
      <c r="R146" s="55"/>
      <c r="S146" s="55"/>
      <c r="T146" s="55"/>
      <c r="U146" s="55"/>
      <c r="V146" s="55"/>
      <c r="W146" s="55"/>
      <c r="X146" s="55"/>
      <c r="Y146" s="55"/>
      <c r="Z146" s="55"/>
      <c r="AA146" s="55"/>
      <c r="AB146" s="55"/>
      <c r="AC146" s="55"/>
      <c r="AD146" s="55"/>
      <c r="AF146" s="106" t="s">
        <v>30</v>
      </c>
      <c r="AG146" s="4" t="s">
        <v>21</v>
      </c>
      <c r="AH146" s="4" t="s">
        <v>22</v>
      </c>
      <c r="AI146" s="107">
        <v>19.2</v>
      </c>
      <c r="AJ146" s="107">
        <v>14.7</v>
      </c>
      <c r="AK146" s="107">
        <v>25.2</v>
      </c>
      <c r="AL146" s="107">
        <v>2.1</v>
      </c>
      <c r="AM146" s="107">
        <v>6</v>
      </c>
      <c r="AN146" s="108">
        <v>7840</v>
      </c>
    </row>
    <row r="147" spans="2:40" x14ac:dyDescent="0.15">
      <c r="B147" s="113"/>
      <c r="C147" s="9"/>
      <c r="D147" s="9"/>
      <c r="E147" s="9"/>
      <c r="F147" s="98"/>
      <c r="G147" s="98"/>
      <c r="H147" s="98"/>
      <c r="I147" s="98"/>
      <c r="J147" s="98"/>
      <c r="K147" s="55"/>
      <c r="L147" s="55"/>
      <c r="M147" s="55"/>
      <c r="N147" s="55"/>
      <c r="O147" s="55"/>
      <c r="P147" s="55"/>
      <c r="Q147" s="55"/>
      <c r="R147" s="55"/>
      <c r="S147" s="55"/>
      <c r="T147" s="55"/>
      <c r="U147" s="55"/>
      <c r="V147" s="55"/>
      <c r="W147" s="55"/>
      <c r="X147" s="55"/>
      <c r="Y147" s="55"/>
      <c r="Z147" s="55"/>
      <c r="AA147" s="55"/>
      <c r="AB147" s="55"/>
      <c r="AC147" s="55"/>
      <c r="AD147" s="55"/>
      <c r="AF147" s="106" t="s">
        <v>31</v>
      </c>
      <c r="AG147" s="4" t="s">
        <v>21</v>
      </c>
      <c r="AH147" s="4" t="s">
        <v>22</v>
      </c>
      <c r="AI147" s="107">
        <v>19.2</v>
      </c>
      <c r="AJ147" s="107">
        <v>14.7</v>
      </c>
      <c r="AK147" s="107">
        <v>25.2</v>
      </c>
      <c r="AL147" s="107">
        <v>2.1</v>
      </c>
      <c r="AM147" s="107">
        <v>6</v>
      </c>
      <c r="AN147" s="108">
        <v>7840</v>
      </c>
    </row>
    <row r="148" spans="2:40" x14ac:dyDescent="0.15">
      <c r="B148" s="113"/>
      <c r="C148" s="9"/>
      <c r="D148" s="9"/>
      <c r="E148" s="9"/>
      <c r="F148" s="98"/>
      <c r="G148" s="98"/>
      <c r="H148" s="98"/>
      <c r="I148" s="98"/>
      <c r="J148" s="98"/>
      <c r="K148" s="55"/>
      <c r="L148" s="55"/>
      <c r="M148" s="55"/>
      <c r="N148" s="55"/>
      <c r="O148" s="55"/>
      <c r="P148" s="55"/>
      <c r="Q148" s="55"/>
      <c r="R148" s="55"/>
      <c r="S148" s="55"/>
      <c r="T148" s="55"/>
      <c r="U148" s="55"/>
      <c r="V148" s="55"/>
      <c r="W148" s="55"/>
      <c r="X148" s="55"/>
      <c r="Y148" s="55"/>
      <c r="Z148" s="55"/>
      <c r="AA148" s="55"/>
      <c r="AB148" s="55"/>
      <c r="AC148" s="55"/>
      <c r="AD148" s="55"/>
      <c r="AF148" s="106" t="s">
        <v>32</v>
      </c>
      <c r="AG148" s="4" t="s">
        <v>21</v>
      </c>
      <c r="AH148" s="4" t="s">
        <v>22</v>
      </c>
      <c r="AI148" s="107">
        <v>17.7</v>
      </c>
      <c r="AJ148" s="107">
        <v>13.5</v>
      </c>
      <c r="AK148" s="107">
        <v>22.2</v>
      </c>
      <c r="AL148" s="107">
        <v>1.8</v>
      </c>
      <c r="AM148" s="107">
        <v>6</v>
      </c>
      <c r="AN148" s="108">
        <v>6860</v>
      </c>
    </row>
    <row r="149" spans="2:40" x14ac:dyDescent="0.15">
      <c r="B149" s="113"/>
      <c r="C149" s="9"/>
      <c r="D149" s="9"/>
      <c r="E149" s="9"/>
      <c r="F149" s="98"/>
      <c r="G149" s="98"/>
      <c r="H149" s="98"/>
      <c r="I149" s="98"/>
      <c r="J149" s="98"/>
      <c r="K149" s="55"/>
      <c r="L149" s="55"/>
      <c r="M149" s="55"/>
      <c r="N149" s="55"/>
      <c r="O149" s="55"/>
      <c r="P149" s="55"/>
      <c r="Q149" s="55"/>
      <c r="R149" s="55"/>
      <c r="S149" s="55"/>
      <c r="T149" s="55"/>
      <c r="U149" s="55"/>
      <c r="V149" s="55"/>
      <c r="W149" s="55"/>
      <c r="X149" s="55"/>
      <c r="Y149" s="55"/>
      <c r="Z149" s="55"/>
      <c r="AA149" s="55"/>
      <c r="AB149" s="55"/>
      <c r="AC149" s="55"/>
      <c r="AD149" s="55"/>
      <c r="AF149" s="106" t="s">
        <v>33</v>
      </c>
      <c r="AG149" s="4" t="s">
        <v>21</v>
      </c>
      <c r="AH149" s="4" t="s">
        <v>22</v>
      </c>
      <c r="AI149" s="107">
        <v>17.7</v>
      </c>
      <c r="AJ149" s="107">
        <v>13.5</v>
      </c>
      <c r="AK149" s="107">
        <v>22.2</v>
      </c>
      <c r="AL149" s="107">
        <v>1.8</v>
      </c>
      <c r="AM149" s="107">
        <v>6</v>
      </c>
      <c r="AN149" s="108">
        <v>6860</v>
      </c>
    </row>
    <row r="150" spans="2:40" x14ac:dyDescent="0.15">
      <c r="B150" s="113"/>
      <c r="C150" s="9"/>
      <c r="D150" s="9"/>
      <c r="E150" s="9"/>
      <c r="F150" s="98"/>
      <c r="G150" s="98"/>
      <c r="H150" s="98"/>
      <c r="I150" s="98"/>
      <c r="J150" s="98"/>
      <c r="K150" s="55"/>
      <c r="L150" s="55"/>
      <c r="M150" s="55"/>
      <c r="N150" s="55"/>
      <c r="O150" s="55"/>
      <c r="P150" s="55"/>
      <c r="Q150" s="55"/>
      <c r="R150" s="55"/>
      <c r="S150" s="55"/>
      <c r="T150" s="55"/>
      <c r="U150" s="55"/>
      <c r="V150" s="55"/>
      <c r="W150" s="55"/>
      <c r="X150" s="55"/>
      <c r="Y150" s="55"/>
      <c r="Z150" s="55"/>
      <c r="AA150" s="55"/>
      <c r="AB150" s="55"/>
      <c r="AC150" s="55"/>
      <c r="AD150" s="55"/>
      <c r="AF150" s="106" t="s">
        <v>34</v>
      </c>
      <c r="AG150" s="4" t="s">
        <v>21</v>
      </c>
      <c r="AH150" s="4" t="s">
        <v>22</v>
      </c>
      <c r="AI150" s="107">
        <v>17.7</v>
      </c>
      <c r="AJ150" s="107">
        <v>13.5</v>
      </c>
      <c r="AK150" s="107">
        <v>22.2</v>
      </c>
      <c r="AL150" s="107">
        <v>1.8</v>
      </c>
      <c r="AM150" s="107">
        <v>6</v>
      </c>
      <c r="AN150" s="108">
        <v>6860</v>
      </c>
    </row>
    <row r="151" spans="2:40" x14ac:dyDescent="0.15">
      <c r="B151" s="113"/>
      <c r="C151" s="9"/>
      <c r="D151" s="9"/>
      <c r="E151" s="9"/>
      <c r="F151" s="98"/>
      <c r="G151" s="98"/>
      <c r="H151" s="98"/>
      <c r="I151" s="98"/>
      <c r="J151" s="98"/>
      <c r="K151" s="55"/>
      <c r="L151" s="55"/>
      <c r="M151" s="55"/>
      <c r="N151" s="55"/>
      <c r="O151" s="55"/>
      <c r="P151" s="55"/>
      <c r="Q151" s="55"/>
      <c r="R151" s="55"/>
      <c r="S151" s="55"/>
      <c r="T151" s="55"/>
      <c r="U151" s="55"/>
      <c r="V151" s="55"/>
      <c r="W151" s="55"/>
      <c r="X151" s="55"/>
      <c r="Y151" s="55"/>
      <c r="Z151" s="55"/>
      <c r="AA151" s="55"/>
      <c r="AB151" s="55"/>
      <c r="AC151" s="55"/>
      <c r="AD151" s="55"/>
      <c r="AF151" s="106" t="s">
        <v>35</v>
      </c>
      <c r="AG151" s="4" t="s">
        <v>21</v>
      </c>
      <c r="AH151" s="4" t="s">
        <v>22</v>
      </c>
      <c r="AI151" s="107">
        <v>27</v>
      </c>
      <c r="AJ151" s="107">
        <v>24</v>
      </c>
      <c r="AK151" s="107">
        <v>38.4</v>
      </c>
      <c r="AL151" s="107">
        <v>4.2</v>
      </c>
      <c r="AM151" s="107">
        <v>12</v>
      </c>
      <c r="AN151" s="108">
        <v>9800</v>
      </c>
    </row>
    <row r="152" spans="2:40" x14ac:dyDescent="0.15">
      <c r="B152" s="113"/>
      <c r="C152" s="9"/>
      <c r="D152" s="9"/>
      <c r="E152" s="9"/>
      <c r="F152" s="98"/>
      <c r="G152" s="98"/>
      <c r="H152" s="98"/>
      <c r="I152" s="98"/>
      <c r="J152" s="98"/>
      <c r="K152" s="55"/>
      <c r="L152" s="55"/>
      <c r="M152" s="55"/>
      <c r="N152" s="55"/>
      <c r="O152" s="55"/>
      <c r="P152" s="55"/>
      <c r="Q152" s="55"/>
      <c r="R152" s="55"/>
      <c r="S152" s="55"/>
      <c r="T152" s="55"/>
      <c r="U152" s="55"/>
      <c r="V152" s="55"/>
      <c r="W152" s="55"/>
      <c r="X152" s="55"/>
      <c r="Y152" s="55"/>
      <c r="Z152" s="55"/>
      <c r="AA152" s="55"/>
      <c r="AB152" s="55"/>
      <c r="AC152" s="55"/>
      <c r="AD152" s="55"/>
      <c r="AF152" s="106" t="s">
        <v>36</v>
      </c>
      <c r="AG152" s="4" t="s">
        <v>21</v>
      </c>
      <c r="AH152" s="4" t="s">
        <v>22</v>
      </c>
      <c r="AI152" s="107">
        <v>21</v>
      </c>
      <c r="AJ152" s="107">
        <v>18</v>
      </c>
      <c r="AK152" s="107">
        <v>29.4</v>
      </c>
      <c r="AL152" s="107">
        <v>3</v>
      </c>
      <c r="AM152" s="107">
        <v>10.8</v>
      </c>
      <c r="AN152" s="108">
        <v>7840</v>
      </c>
    </row>
    <row r="153" spans="2:40" x14ac:dyDescent="0.15">
      <c r="B153" s="113"/>
      <c r="C153" s="9"/>
      <c r="D153" s="9"/>
      <c r="E153" s="9"/>
      <c r="F153" s="98"/>
      <c r="G153" s="98"/>
      <c r="H153" s="98"/>
      <c r="I153" s="98"/>
      <c r="J153" s="98"/>
      <c r="K153" s="55"/>
      <c r="L153" s="55"/>
      <c r="M153" s="55"/>
      <c r="N153" s="55"/>
      <c r="O153" s="55"/>
      <c r="P153" s="55"/>
      <c r="Q153" s="55"/>
      <c r="R153" s="55"/>
      <c r="S153" s="55"/>
      <c r="T153" s="55"/>
      <c r="U153" s="55"/>
      <c r="V153" s="55"/>
      <c r="W153" s="55"/>
      <c r="X153" s="55"/>
      <c r="Y153" s="55"/>
      <c r="Z153" s="55"/>
      <c r="AA153" s="55"/>
      <c r="AB153" s="55"/>
      <c r="AC153" s="55"/>
      <c r="AD153" s="55"/>
      <c r="AF153" s="106" t="s">
        <v>37</v>
      </c>
      <c r="AG153" s="4" t="s">
        <v>21</v>
      </c>
      <c r="AH153" s="4" t="s">
        <v>22</v>
      </c>
      <c r="AI153" s="107">
        <v>21</v>
      </c>
      <c r="AJ153" s="107">
        <v>18</v>
      </c>
      <c r="AK153" s="107">
        <v>29.4</v>
      </c>
      <c r="AL153" s="107">
        <v>3</v>
      </c>
      <c r="AM153" s="107">
        <v>10.8</v>
      </c>
      <c r="AN153" s="108">
        <v>7840</v>
      </c>
    </row>
    <row r="154" spans="2:40" x14ac:dyDescent="0.15">
      <c r="B154" s="113"/>
      <c r="C154" s="9"/>
      <c r="D154" s="9"/>
      <c r="E154" s="9"/>
      <c r="F154" s="98"/>
      <c r="G154" s="98"/>
      <c r="H154" s="98"/>
      <c r="I154" s="98"/>
      <c r="J154" s="98"/>
      <c r="K154" s="55"/>
      <c r="L154" s="55"/>
      <c r="M154" s="55"/>
      <c r="N154" s="55"/>
      <c r="O154" s="55"/>
      <c r="P154" s="55"/>
      <c r="Q154" s="55"/>
      <c r="R154" s="55"/>
      <c r="S154" s="55"/>
      <c r="T154" s="55"/>
      <c r="U154" s="55"/>
      <c r="V154" s="55"/>
      <c r="W154" s="55"/>
      <c r="X154" s="55"/>
      <c r="Y154" s="55"/>
      <c r="Z154" s="55"/>
      <c r="AA154" s="55"/>
      <c r="AB154" s="55"/>
      <c r="AC154" s="55"/>
      <c r="AD154" s="55"/>
      <c r="AF154" s="106" t="s">
        <v>38</v>
      </c>
      <c r="AG154" s="4" t="s">
        <v>21</v>
      </c>
      <c r="AH154" s="4" t="s">
        <v>22</v>
      </c>
      <c r="AI154" s="107">
        <v>21</v>
      </c>
      <c r="AJ154" s="107">
        <v>18</v>
      </c>
      <c r="AK154" s="107">
        <v>29.4</v>
      </c>
      <c r="AL154" s="107">
        <v>3</v>
      </c>
      <c r="AM154" s="107">
        <v>10.8</v>
      </c>
      <c r="AN154" s="108">
        <v>7840</v>
      </c>
    </row>
    <row r="155" spans="2:40" ht="15" thickBot="1" x14ac:dyDescent="0.2">
      <c r="B155" s="113"/>
      <c r="C155" s="9"/>
      <c r="D155" s="9"/>
      <c r="E155" s="9"/>
      <c r="F155" s="98"/>
      <c r="G155" s="98"/>
      <c r="H155" s="98"/>
      <c r="I155" s="98"/>
      <c r="J155" s="98"/>
      <c r="K155" s="55"/>
      <c r="L155" s="55"/>
      <c r="M155" s="55"/>
      <c r="N155" s="55"/>
      <c r="O155" s="55"/>
      <c r="P155" s="55"/>
      <c r="Q155" s="55"/>
      <c r="R155" s="55"/>
      <c r="S155" s="55"/>
      <c r="T155" s="55"/>
      <c r="U155" s="55"/>
      <c r="V155" s="55"/>
      <c r="W155" s="55"/>
      <c r="X155" s="55"/>
      <c r="Y155" s="55"/>
      <c r="Z155" s="55"/>
      <c r="AA155" s="55"/>
      <c r="AB155" s="55"/>
      <c r="AC155" s="55"/>
      <c r="AD155" s="55"/>
      <c r="AF155" s="109" t="s">
        <v>39</v>
      </c>
      <c r="AG155" s="110" t="s">
        <v>21</v>
      </c>
      <c r="AH155" s="110" t="s">
        <v>22</v>
      </c>
      <c r="AI155" s="111">
        <v>21</v>
      </c>
      <c r="AJ155" s="111">
        <v>18</v>
      </c>
      <c r="AK155" s="111">
        <v>29.4</v>
      </c>
      <c r="AL155" s="111">
        <v>3</v>
      </c>
      <c r="AM155" s="111">
        <v>10.8</v>
      </c>
      <c r="AN155" s="112">
        <v>7840</v>
      </c>
    </row>
    <row r="156" spans="2:40" x14ac:dyDescent="0.15">
      <c r="B156" s="113"/>
      <c r="C156" s="9"/>
      <c r="D156" s="9"/>
      <c r="E156" s="9"/>
      <c r="F156" s="98"/>
      <c r="G156" s="98"/>
      <c r="H156" s="98"/>
      <c r="I156" s="98"/>
      <c r="J156" s="98"/>
      <c r="K156" s="55"/>
      <c r="L156" s="55"/>
      <c r="M156" s="55"/>
      <c r="N156" s="55"/>
      <c r="O156" s="55"/>
      <c r="P156" s="55"/>
      <c r="Q156" s="55"/>
      <c r="R156" s="55"/>
      <c r="S156" s="55"/>
      <c r="T156" s="55"/>
      <c r="U156" s="55"/>
      <c r="V156" s="55"/>
      <c r="W156" s="55"/>
      <c r="X156" s="55"/>
      <c r="Y156" s="55"/>
      <c r="Z156" s="55"/>
      <c r="AA156" s="55"/>
      <c r="AB156" s="55"/>
      <c r="AC156" s="55"/>
      <c r="AD156" s="55"/>
    </row>
    <row r="157" spans="2:40" ht="15" thickBot="1" x14ac:dyDescent="0.2">
      <c r="B157" s="113"/>
      <c r="C157" s="9"/>
      <c r="D157" s="9"/>
      <c r="E157" s="9"/>
      <c r="F157" s="98"/>
      <c r="G157" s="98"/>
      <c r="H157" s="98"/>
      <c r="I157" s="98"/>
      <c r="J157" s="98"/>
      <c r="K157" s="55"/>
      <c r="L157" s="55"/>
      <c r="M157" s="55"/>
      <c r="N157" s="55"/>
      <c r="O157" s="55"/>
      <c r="P157" s="55"/>
      <c r="Q157" s="55"/>
      <c r="R157" s="55"/>
      <c r="S157" s="55"/>
      <c r="T157" s="55"/>
      <c r="U157" s="55"/>
      <c r="V157" s="55"/>
      <c r="W157" s="55"/>
      <c r="X157" s="55"/>
      <c r="Y157" s="55"/>
      <c r="Z157" s="55"/>
      <c r="AA157" s="55"/>
      <c r="AB157" s="55"/>
      <c r="AC157" s="55"/>
      <c r="AD157" s="55"/>
      <c r="AF157" s="99" t="s">
        <v>538</v>
      </c>
      <c r="AG157" s="23"/>
      <c r="AH157" s="9" t="s">
        <v>581</v>
      </c>
      <c r="AI157" s="9"/>
      <c r="AJ157" s="23"/>
      <c r="AK157" s="23"/>
      <c r="AL157" s="23"/>
      <c r="AM157" s="23"/>
      <c r="AN157" s="23"/>
    </row>
    <row r="158" spans="2:40" x14ac:dyDescent="0.15">
      <c r="B158" s="113"/>
      <c r="C158" s="9"/>
      <c r="D158" s="9"/>
      <c r="E158" s="9"/>
      <c r="F158" s="98"/>
      <c r="G158" s="98"/>
      <c r="H158" s="98"/>
      <c r="I158" s="98"/>
      <c r="J158" s="98"/>
      <c r="K158" s="55"/>
      <c r="L158" s="55"/>
      <c r="M158" s="55"/>
      <c r="N158" s="55"/>
      <c r="O158" s="55"/>
      <c r="P158" s="55"/>
      <c r="Q158" s="55"/>
      <c r="R158" s="55"/>
      <c r="S158" s="55"/>
      <c r="T158" s="55"/>
      <c r="U158" s="55"/>
      <c r="V158" s="55"/>
      <c r="W158" s="55"/>
      <c r="X158" s="55"/>
      <c r="Y158" s="55"/>
      <c r="Z158" s="55"/>
      <c r="AA158" s="55"/>
      <c r="AB158" s="55"/>
      <c r="AC158" s="55"/>
      <c r="AD158" s="55"/>
      <c r="AF158" s="1442" t="s">
        <v>15</v>
      </c>
      <c r="AG158" s="1448" t="s">
        <v>16</v>
      </c>
      <c r="AH158" s="1451" t="s">
        <v>17</v>
      </c>
      <c r="AI158" s="1438" t="s">
        <v>19</v>
      </c>
      <c r="AJ158" s="1454"/>
      <c r="AK158" s="1454"/>
      <c r="AL158" s="1454"/>
      <c r="AM158" s="1454"/>
      <c r="AN158" s="1455"/>
    </row>
    <row r="159" spans="2:40" x14ac:dyDescent="0.15">
      <c r="B159" s="113"/>
      <c r="C159" s="9"/>
      <c r="D159" s="9"/>
      <c r="E159" s="9"/>
      <c r="F159" s="98"/>
      <c r="G159" s="98"/>
      <c r="H159" s="98"/>
      <c r="I159" s="98"/>
      <c r="J159" s="98"/>
      <c r="K159" s="55"/>
      <c r="L159" s="55"/>
      <c r="M159" s="55"/>
      <c r="N159" s="55"/>
      <c r="O159" s="55"/>
      <c r="P159" s="55"/>
      <c r="Q159" s="55"/>
      <c r="R159" s="55"/>
      <c r="S159" s="55"/>
      <c r="T159" s="55"/>
      <c r="U159" s="55"/>
      <c r="V159" s="55"/>
      <c r="W159" s="55"/>
      <c r="X159" s="55"/>
      <c r="Y159" s="55"/>
      <c r="Z159" s="55"/>
      <c r="AA159" s="55"/>
      <c r="AB159" s="55"/>
      <c r="AC159" s="55"/>
      <c r="AD159" s="55"/>
      <c r="AF159" s="1443"/>
      <c r="AG159" s="1449"/>
      <c r="AH159" s="1452"/>
      <c r="AI159" s="733" t="s">
        <v>575</v>
      </c>
      <c r="AJ159" s="733" t="s">
        <v>576</v>
      </c>
      <c r="AK159" s="733" t="s">
        <v>577</v>
      </c>
      <c r="AL159" s="733" t="s">
        <v>578</v>
      </c>
      <c r="AM159" s="733" t="s">
        <v>579</v>
      </c>
      <c r="AN159" s="100" t="s">
        <v>580</v>
      </c>
    </row>
    <row r="160" spans="2:40" ht="15" thickBot="1" x14ac:dyDescent="0.2">
      <c r="B160" s="113"/>
      <c r="C160" s="9"/>
      <c r="D160" s="9"/>
      <c r="E160" s="9"/>
      <c r="F160" s="98"/>
      <c r="G160" s="98"/>
      <c r="H160" s="98"/>
      <c r="I160" s="98"/>
      <c r="J160" s="98"/>
      <c r="K160" s="55"/>
      <c r="L160" s="55"/>
      <c r="M160" s="55"/>
      <c r="N160" s="55"/>
      <c r="O160" s="55"/>
      <c r="P160" s="55"/>
      <c r="Q160" s="55"/>
      <c r="R160" s="55"/>
      <c r="S160" s="55"/>
      <c r="T160" s="55"/>
      <c r="U160" s="55"/>
      <c r="V160" s="55"/>
      <c r="W160" s="55"/>
      <c r="X160" s="55"/>
      <c r="Y160" s="55"/>
      <c r="Z160" s="55"/>
      <c r="AA160" s="55"/>
      <c r="AB160" s="55"/>
      <c r="AC160" s="55"/>
      <c r="AD160" s="55"/>
      <c r="AF160" s="101"/>
      <c r="AG160" s="1450"/>
      <c r="AH160" s="1453"/>
      <c r="AI160" s="734" t="s">
        <v>1</v>
      </c>
      <c r="AJ160" s="734" t="s">
        <v>3</v>
      </c>
      <c r="AK160" s="734" t="s">
        <v>2</v>
      </c>
      <c r="AL160" s="734" t="s">
        <v>4</v>
      </c>
      <c r="AM160" s="734" t="s">
        <v>244</v>
      </c>
      <c r="AN160" s="102" t="s">
        <v>20</v>
      </c>
    </row>
    <row r="161" spans="2:40" x14ac:dyDescent="0.15">
      <c r="B161" s="113"/>
      <c r="C161" s="9"/>
      <c r="D161" s="9"/>
      <c r="E161" s="9"/>
      <c r="F161" s="98"/>
      <c r="G161" s="98"/>
      <c r="H161" s="98"/>
      <c r="I161" s="98"/>
      <c r="J161" s="98"/>
      <c r="K161" s="55"/>
      <c r="L161" s="55"/>
      <c r="M161" s="55"/>
      <c r="N161" s="55"/>
      <c r="O161" s="55"/>
      <c r="P161" s="55"/>
      <c r="Q161" s="55"/>
      <c r="R161" s="55"/>
      <c r="S161" s="55"/>
      <c r="T161" s="55"/>
      <c r="U161" s="55"/>
      <c r="V161" s="55"/>
      <c r="W161" s="55"/>
      <c r="X161" s="55"/>
      <c r="Y161" s="55"/>
      <c r="Z161" s="55"/>
      <c r="AA161" s="55"/>
      <c r="AB161" s="55"/>
      <c r="AC161" s="55"/>
      <c r="AD161" s="55"/>
      <c r="AF161" s="103" t="s">
        <v>23</v>
      </c>
      <c r="AG161" s="117" t="s">
        <v>21</v>
      </c>
      <c r="AH161" s="114" t="s">
        <v>582</v>
      </c>
      <c r="AI161" s="104">
        <v>19.2</v>
      </c>
      <c r="AJ161" s="104">
        <v>14.4</v>
      </c>
      <c r="AK161" s="104">
        <v>24</v>
      </c>
      <c r="AL161" s="104">
        <v>1.8</v>
      </c>
      <c r="AM161" s="104">
        <v>6</v>
      </c>
      <c r="AN161" s="105">
        <v>4900</v>
      </c>
    </row>
    <row r="162" spans="2:40" x14ac:dyDescent="0.15">
      <c r="B162" s="113"/>
      <c r="C162" s="9"/>
      <c r="D162" s="9"/>
      <c r="E162" s="9"/>
      <c r="F162" s="98"/>
      <c r="G162" s="98"/>
      <c r="H162" s="98"/>
      <c r="I162" s="98"/>
      <c r="J162" s="98"/>
      <c r="K162" s="55"/>
      <c r="L162" s="55"/>
      <c r="M162" s="55"/>
      <c r="N162" s="55"/>
      <c r="O162" s="55"/>
      <c r="P162" s="55"/>
      <c r="Q162" s="55"/>
      <c r="R162" s="55"/>
      <c r="S162" s="55"/>
      <c r="T162" s="55"/>
      <c r="U162" s="55"/>
      <c r="V162" s="55"/>
      <c r="W162" s="55"/>
      <c r="X162" s="55"/>
      <c r="Y162" s="55"/>
      <c r="Z162" s="55"/>
      <c r="AA162" s="55"/>
      <c r="AB162" s="55"/>
      <c r="AC162" s="55"/>
      <c r="AD162" s="55"/>
      <c r="AF162" s="106" t="s">
        <v>24</v>
      </c>
      <c r="AG162" s="4" t="s">
        <v>21</v>
      </c>
      <c r="AH162" s="4" t="s">
        <v>582</v>
      </c>
      <c r="AI162" s="107">
        <v>11.4</v>
      </c>
      <c r="AJ162" s="107">
        <v>8.4</v>
      </c>
      <c r="AK162" s="107">
        <v>13.8</v>
      </c>
      <c r="AL162" s="107">
        <v>2.1</v>
      </c>
      <c r="AM162" s="107">
        <v>7.8</v>
      </c>
      <c r="AN162" s="108">
        <v>4900</v>
      </c>
    </row>
    <row r="163" spans="2:40" x14ac:dyDescent="0.15">
      <c r="B163" s="113"/>
      <c r="C163" s="9"/>
      <c r="D163" s="9"/>
      <c r="E163" s="9"/>
      <c r="F163" s="98"/>
      <c r="G163" s="98"/>
      <c r="H163" s="98"/>
      <c r="I163" s="98"/>
      <c r="J163" s="98"/>
      <c r="K163" s="55"/>
      <c r="L163" s="55"/>
      <c r="M163" s="55"/>
      <c r="N163" s="55"/>
      <c r="O163" s="55"/>
      <c r="P163" s="55"/>
      <c r="Q163" s="55"/>
      <c r="R163" s="55"/>
      <c r="S163" s="55"/>
      <c r="T163" s="55"/>
      <c r="U163" s="55"/>
      <c r="V163" s="55"/>
      <c r="W163" s="55"/>
      <c r="X163" s="55"/>
      <c r="Y163" s="55"/>
      <c r="Z163" s="55"/>
      <c r="AA163" s="55"/>
      <c r="AB163" s="55"/>
      <c r="AC163" s="55"/>
      <c r="AD163" s="55"/>
      <c r="AF163" s="106" t="s">
        <v>25</v>
      </c>
      <c r="AG163" s="4" t="s">
        <v>21</v>
      </c>
      <c r="AH163" s="4" t="s">
        <v>583</v>
      </c>
      <c r="AI163" s="107"/>
      <c r="AJ163" s="107"/>
      <c r="AK163" s="107"/>
      <c r="AL163" s="107"/>
      <c r="AM163" s="107"/>
      <c r="AN163" s="108"/>
    </row>
    <row r="164" spans="2:40" x14ac:dyDescent="0.15">
      <c r="B164" s="113"/>
      <c r="C164" s="9"/>
      <c r="D164" s="9"/>
      <c r="E164" s="9"/>
      <c r="F164" s="98"/>
      <c r="G164" s="98"/>
      <c r="H164" s="98"/>
      <c r="I164" s="98"/>
      <c r="J164" s="98"/>
      <c r="K164" s="55"/>
      <c r="L164" s="55"/>
      <c r="M164" s="55"/>
      <c r="N164" s="55"/>
      <c r="O164" s="55"/>
      <c r="P164" s="55"/>
      <c r="Q164" s="55"/>
      <c r="R164" s="55"/>
      <c r="S164" s="55"/>
      <c r="T164" s="55"/>
      <c r="U164" s="55"/>
      <c r="V164" s="55"/>
      <c r="W164" s="55"/>
      <c r="X164" s="55"/>
      <c r="Y164" s="55"/>
      <c r="Z164" s="55"/>
      <c r="AA164" s="55"/>
      <c r="AB164" s="55"/>
      <c r="AC164" s="55"/>
      <c r="AD164" s="55"/>
      <c r="AF164" s="106" t="s">
        <v>26</v>
      </c>
      <c r="AG164" s="4" t="s">
        <v>21</v>
      </c>
      <c r="AH164" s="4" t="s">
        <v>584</v>
      </c>
      <c r="AI164" s="107"/>
      <c r="AJ164" s="107"/>
      <c r="AK164" s="107"/>
      <c r="AL164" s="107"/>
      <c r="AM164" s="107"/>
      <c r="AN164" s="108"/>
    </row>
    <row r="165" spans="2:40" x14ac:dyDescent="0.15">
      <c r="B165" s="113"/>
      <c r="C165" s="9"/>
      <c r="D165" s="9"/>
      <c r="E165" s="9"/>
      <c r="F165" s="98"/>
      <c r="G165" s="98"/>
      <c r="H165" s="98"/>
      <c r="I165" s="98"/>
      <c r="J165" s="98"/>
      <c r="K165" s="55"/>
      <c r="L165" s="55"/>
      <c r="M165" s="55"/>
      <c r="N165" s="55"/>
      <c r="O165" s="55"/>
      <c r="P165" s="55"/>
      <c r="Q165" s="55"/>
      <c r="R165" s="55"/>
      <c r="S165" s="55"/>
      <c r="T165" s="55"/>
      <c r="U165" s="55"/>
      <c r="V165" s="55"/>
      <c r="W165" s="55"/>
      <c r="X165" s="55"/>
      <c r="Y165" s="55"/>
      <c r="Z165" s="55"/>
      <c r="AA165" s="55"/>
      <c r="AB165" s="55"/>
      <c r="AC165" s="55"/>
      <c r="AD165" s="55"/>
      <c r="AF165" s="106" t="s">
        <v>27</v>
      </c>
      <c r="AG165" s="4" t="s">
        <v>21</v>
      </c>
      <c r="AH165" s="4" t="s">
        <v>583</v>
      </c>
      <c r="AI165" s="107"/>
      <c r="AJ165" s="107"/>
      <c r="AK165" s="107"/>
      <c r="AL165" s="107"/>
      <c r="AM165" s="107"/>
      <c r="AN165" s="108"/>
    </row>
    <row r="166" spans="2:40" x14ac:dyDescent="0.15">
      <c r="B166" s="113"/>
      <c r="C166" s="9"/>
      <c r="D166" s="9"/>
      <c r="E166" s="9"/>
      <c r="F166" s="98"/>
      <c r="G166" s="98"/>
      <c r="H166" s="98"/>
      <c r="I166" s="98"/>
      <c r="J166" s="98"/>
      <c r="K166" s="55"/>
      <c r="L166" s="55"/>
      <c r="M166" s="55"/>
      <c r="N166" s="55"/>
      <c r="O166" s="55"/>
      <c r="P166" s="55"/>
      <c r="Q166" s="55"/>
      <c r="R166" s="55"/>
      <c r="S166" s="55"/>
      <c r="T166" s="55"/>
      <c r="U166" s="55"/>
      <c r="V166" s="55"/>
      <c r="W166" s="55"/>
      <c r="X166" s="55"/>
      <c r="Y166" s="55"/>
      <c r="Z166" s="55"/>
      <c r="AA166" s="55"/>
      <c r="AB166" s="55"/>
      <c r="AC166" s="55"/>
      <c r="AD166" s="55"/>
      <c r="AF166" s="106" t="s">
        <v>28</v>
      </c>
      <c r="AG166" s="4" t="s">
        <v>21</v>
      </c>
      <c r="AH166" s="4" t="s">
        <v>584</v>
      </c>
      <c r="AI166" s="107">
        <v>11.4</v>
      </c>
      <c r="AJ166" s="107">
        <v>8.4</v>
      </c>
      <c r="AK166" s="107">
        <v>13.8</v>
      </c>
      <c r="AL166" s="107">
        <v>2.1</v>
      </c>
      <c r="AM166" s="107">
        <v>7.8</v>
      </c>
      <c r="AN166" s="108">
        <v>4900</v>
      </c>
    </row>
    <row r="167" spans="2:40" x14ac:dyDescent="0.15">
      <c r="B167" s="113"/>
      <c r="C167" s="9"/>
      <c r="D167" s="9"/>
      <c r="E167" s="9"/>
      <c r="F167" s="98"/>
      <c r="G167" s="98"/>
      <c r="H167" s="98"/>
      <c r="I167" s="98"/>
      <c r="J167" s="98"/>
      <c r="K167" s="55"/>
      <c r="L167" s="55"/>
      <c r="M167" s="55"/>
      <c r="N167" s="55"/>
      <c r="O167" s="55"/>
      <c r="P167" s="55"/>
      <c r="Q167" s="55"/>
      <c r="R167" s="55"/>
      <c r="S167" s="55"/>
      <c r="T167" s="55"/>
      <c r="U167" s="55"/>
      <c r="V167" s="55"/>
      <c r="W167" s="55"/>
      <c r="X167" s="55"/>
      <c r="Y167" s="55"/>
      <c r="Z167" s="55"/>
      <c r="AA167" s="55"/>
      <c r="AB167" s="55"/>
      <c r="AC167" s="55"/>
      <c r="AD167" s="55"/>
      <c r="AF167" s="106" t="s">
        <v>585</v>
      </c>
      <c r="AG167" s="4" t="s">
        <v>21</v>
      </c>
      <c r="AH167" s="4" t="s">
        <v>584</v>
      </c>
      <c r="AI167" s="107">
        <v>11.4</v>
      </c>
      <c r="AJ167" s="107">
        <v>8.4</v>
      </c>
      <c r="AK167" s="107">
        <v>13.8</v>
      </c>
      <c r="AL167" s="107">
        <v>2.1</v>
      </c>
      <c r="AM167" s="107">
        <v>7.8</v>
      </c>
      <c r="AN167" s="108">
        <v>4900</v>
      </c>
    </row>
    <row r="168" spans="2:40" x14ac:dyDescent="0.15">
      <c r="B168" s="113"/>
      <c r="C168" s="9"/>
      <c r="D168" s="9"/>
      <c r="E168" s="9"/>
      <c r="F168" s="98"/>
      <c r="G168" s="98"/>
      <c r="H168" s="98"/>
      <c r="I168" s="98"/>
      <c r="J168" s="98"/>
      <c r="K168" s="55"/>
      <c r="L168" s="55"/>
      <c r="M168" s="55"/>
      <c r="N168" s="55"/>
      <c r="O168" s="55"/>
      <c r="P168" s="55"/>
      <c r="Q168" s="55"/>
      <c r="R168" s="55"/>
      <c r="S168" s="55"/>
      <c r="T168" s="55"/>
      <c r="U168" s="55"/>
      <c r="V168" s="55"/>
      <c r="W168" s="55"/>
      <c r="X168" s="55"/>
      <c r="Y168" s="55"/>
      <c r="Z168" s="55"/>
      <c r="AA168" s="55"/>
      <c r="AB168" s="55"/>
      <c r="AC168" s="55"/>
      <c r="AD168" s="55"/>
      <c r="AF168" s="106" t="s">
        <v>30</v>
      </c>
      <c r="AG168" s="4" t="s">
        <v>21</v>
      </c>
      <c r="AH168" s="4" t="s">
        <v>582</v>
      </c>
      <c r="AI168" s="107"/>
      <c r="AJ168" s="107"/>
      <c r="AK168" s="107"/>
      <c r="AL168" s="107"/>
      <c r="AM168" s="107"/>
      <c r="AN168" s="108"/>
    </row>
    <row r="169" spans="2:40" x14ac:dyDescent="0.15">
      <c r="B169" s="113"/>
      <c r="C169" s="9"/>
      <c r="D169" s="9"/>
      <c r="E169" s="9"/>
      <c r="F169" s="98"/>
      <c r="G169" s="98"/>
      <c r="H169" s="98"/>
      <c r="I169" s="98"/>
      <c r="J169" s="98"/>
      <c r="K169" s="55"/>
      <c r="L169" s="55"/>
      <c r="M169" s="55"/>
      <c r="N169" s="55"/>
      <c r="O169" s="55"/>
      <c r="P169" s="55"/>
      <c r="Q169" s="55"/>
      <c r="R169" s="55"/>
      <c r="S169" s="55"/>
      <c r="T169" s="55"/>
      <c r="U169" s="55"/>
      <c r="V169" s="55"/>
      <c r="W169" s="55"/>
      <c r="X169" s="55"/>
      <c r="Y169" s="55"/>
      <c r="Z169" s="55"/>
      <c r="AA169" s="55"/>
      <c r="AB169" s="55"/>
      <c r="AC169" s="55"/>
      <c r="AD169" s="55"/>
      <c r="AF169" s="106" t="s">
        <v>31</v>
      </c>
      <c r="AG169" s="4" t="s">
        <v>21</v>
      </c>
      <c r="AH169" s="4" t="s">
        <v>583</v>
      </c>
      <c r="AI169" s="107"/>
      <c r="AJ169" s="107"/>
      <c r="AK169" s="107"/>
      <c r="AL169" s="107"/>
      <c r="AM169" s="107"/>
      <c r="AN169" s="108"/>
    </row>
    <row r="170" spans="2:40" x14ac:dyDescent="0.15">
      <c r="B170" s="113"/>
      <c r="C170" s="9"/>
      <c r="D170" s="9"/>
      <c r="E170" s="9"/>
      <c r="F170" s="98"/>
      <c r="G170" s="98"/>
      <c r="H170" s="98"/>
      <c r="I170" s="98"/>
      <c r="J170" s="98"/>
      <c r="K170" s="55"/>
      <c r="L170" s="55"/>
      <c r="M170" s="55"/>
      <c r="N170" s="55"/>
      <c r="O170" s="55"/>
      <c r="P170" s="55"/>
      <c r="Q170" s="55"/>
      <c r="R170" s="55"/>
      <c r="S170" s="55"/>
      <c r="T170" s="55"/>
      <c r="U170" s="55"/>
      <c r="V170" s="55"/>
      <c r="W170" s="55"/>
      <c r="X170" s="55"/>
      <c r="Y170" s="55"/>
      <c r="Z170" s="55"/>
      <c r="AA170" s="55"/>
      <c r="AB170" s="55"/>
      <c r="AC170" s="55"/>
      <c r="AD170" s="55"/>
      <c r="AF170" s="106" t="s">
        <v>586</v>
      </c>
      <c r="AG170" s="4" t="s">
        <v>21</v>
      </c>
      <c r="AH170" s="4" t="s">
        <v>583</v>
      </c>
      <c r="AI170" s="107"/>
      <c r="AJ170" s="107"/>
      <c r="AK170" s="107"/>
      <c r="AL170" s="107"/>
      <c r="AM170" s="107"/>
      <c r="AN170" s="108"/>
    </row>
    <row r="171" spans="2:40" x14ac:dyDescent="0.15">
      <c r="B171" s="113"/>
      <c r="C171" s="9"/>
      <c r="D171" s="9"/>
      <c r="E171" s="9"/>
      <c r="F171" s="98"/>
      <c r="G171" s="98"/>
      <c r="H171" s="98"/>
      <c r="I171" s="98"/>
      <c r="J171" s="98"/>
      <c r="K171" s="55"/>
      <c r="L171" s="55"/>
      <c r="M171" s="55"/>
      <c r="N171" s="55"/>
      <c r="O171" s="55"/>
      <c r="P171" s="55"/>
      <c r="Q171" s="55"/>
      <c r="R171" s="55"/>
      <c r="S171" s="55"/>
      <c r="T171" s="55"/>
      <c r="U171" s="55"/>
      <c r="V171" s="55"/>
      <c r="W171" s="55"/>
      <c r="X171" s="55"/>
      <c r="Y171" s="55"/>
      <c r="Z171" s="55"/>
      <c r="AA171" s="55"/>
      <c r="AB171" s="55"/>
      <c r="AC171" s="55"/>
      <c r="AD171" s="55"/>
      <c r="AF171" s="106" t="s">
        <v>33</v>
      </c>
      <c r="AG171" s="4" t="s">
        <v>21</v>
      </c>
      <c r="AH171" s="4" t="s">
        <v>584</v>
      </c>
      <c r="AI171" s="107"/>
      <c r="AJ171" s="107"/>
      <c r="AK171" s="107"/>
      <c r="AL171" s="107"/>
      <c r="AM171" s="107"/>
      <c r="AN171" s="108"/>
    </row>
    <row r="172" spans="2:40" x14ac:dyDescent="0.15">
      <c r="B172" s="113"/>
      <c r="C172" s="9"/>
      <c r="D172" s="9"/>
      <c r="E172" s="9"/>
      <c r="F172" s="98"/>
      <c r="G172" s="98"/>
      <c r="H172" s="98"/>
      <c r="I172" s="98"/>
      <c r="J172" s="98"/>
      <c r="K172" s="55"/>
      <c r="L172" s="55"/>
      <c r="M172" s="55"/>
      <c r="N172" s="55"/>
      <c r="O172" s="55"/>
      <c r="P172" s="55"/>
      <c r="Q172" s="55"/>
      <c r="R172" s="55"/>
      <c r="S172" s="55"/>
      <c r="T172" s="55"/>
      <c r="U172" s="55"/>
      <c r="V172" s="55"/>
      <c r="W172" s="55"/>
      <c r="X172" s="55"/>
      <c r="Y172" s="55"/>
      <c r="Z172" s="55"/>
      <c r="AA172" s="55"/>
      <c r="AB172" s="55"/>
      <c r="AC172" s="55"/>
      <c r="AD172" s="55"/>
      <c r="AF172" s="106" t="s">
        <v>34</v>
      </c>
      <c r="AG172" s="4" t="s">
        <v>21</v>
      </c>
      <c r="AH172" s="4" t="s">
        <v>582</v>
      </c>
      <c r="AI172" s="107"/>
      <c r="AJ172" s="107"/>
      <c r="AK172" s="107"/>
      <c r="AL172" s="107"/>
      <c r="AM172" s="107"/>
      <c r="AN172" s="108"/>
    </row>
    <row r="173" spans="2:40" x14ac:dyDescent="0.15">
      <c r="B173" s="113"/>
      <c r="C173" s="9"/>
      <c r="D173" s="9"/>
      <c r="E173" s="9"/>
      <c r="F173" s="98"/>
      <c r="G173" s="98"/>
      <c r="H173" s="98"/>
      <c r="I173" s="98"/>
      <c r="J173" s="98"/>
      <c r="K173" s="55"/>
      <c r="L173" s="55"/>
      <c r="M173" s="55"/>
      <c r="N173" s="55"/>
      <c r="O173" s="55"/>
      <c r="P173" s="55"/>
      <c r="Q173" s="55"/>
      <c r="R173" s="55"/>
      <c r="S173" s="55"/>
      <c r="T173" s="55"/>
      <c r="U173" s="55"/>
      <c r="V173" s="55"/>
      <c r="W173" s="55"/>
      <c r="X173" s="55"/>
      <c r="Y173" s="55"/>
      <c r="Z173" s="55"/>
      <c r="AA173" s="55"/>
      <c r="AB173" s="55"/>
      <c r="AC173" s="55"/>
      <c r="AD173" s="55"/>
      <c r="AF173" s="106"/>
      <c r="AG173" s="4"/>
      <c r="AH173" s="4"/>
      <c r="AI173" s="107"/>
      <c r="AJ173" s="107"/>
      <c r="AK173" s="107"/>
      <c r="AL173" s="107"/>
      <c r="AM173" s="107"/>
      <c r="AN173" s="108"/>
    </row>
    <row r="174" spans="2:40" x14ac:dyDescent="0.15">
      <c r="B174" s="113"/>
      <c r="C174" s="9"/>
      <c r="D174" s="9"/>
      <c r="E174" s="9"/>
      <c r="F174" s="98"/>
      <c r="G174" s="98"/>
      <c r="H174" s="98"/>
      <c r="I174" s="98"/>
      <c r="J174" s="98"/>
      <c r="K174" s="55"/>
      <c r="L174" s="55"/>
      <c r="M174" s="55"/>
      <c r="N174" s="55"/>
      <c r="O174" s="55"/>
      <c r="P174" s="55"/>
      <c r="Q174" s="55"/>
      <c r="R174" s="55"/>
      <c r="S174" s="55"/>
      <c r="T174" s="55"/>
      <c r="U174" s="55"/>
      <c r="V174" s="55"/>
      <c r="W174" s="55"/>
      <c r="X174" s="55"/>
      <c r="Y174" s="55"/>
      <c r="Z174" s="55"/>
      <c r="AA174" s="55"/>
      <c r="AB174" s="55"/>
      <c r="AC174" s="55"/>
      <c r="AD174" s="55"/>
      <c r="AF174" s="106"/>
      <c r="AG174" s="4"/>
      <c r="AH174" s="4"/>
      <c r="AI174" s="107"/>
      <c r="AJ174" s="107"/>
      <c r="AK174" s="107"/>
      <c r="AL174" s="107"/>
      <c r="AM174" s="107"/>
      <c r="AN174" s="108"/>
    </row>
    <row r="175" spans="2:40" x14ac:dyDescent="0.15">
      <c r="B175" s="113"/>
      <c r="C175" s="9"/>
      <c r="D175" s="9"/>
      <c r="E175" s="9"/>
      <c r="F175" s="98"/>
      <c r="G175" s="98"/>
      <c r="H175" s="98"/>
      <c r="I175" s="98"/>
      <c r="J175" s="98"/>
      <c r="K175" s="55"/>
      <c r="L175" s="55"/>
      <c r="M175" s="55"/>
      <c r="N175" s="55"/>
      <c r="O175" s="55"/>
      <c r="P175" s="55"/>
      <c r="Q175" s="55"/>
      <c r="R175" s="55"/>
      <c r="S175" s="55"/>
      <c r="T175" s="55"/>
      <c r="U175" s="55"/>
      <c r="V175" s="55"/>
      <c r="W175" s="55"/>
      <c r="X175" s="55"/>
      <c r="Y175" s="55"/>
      <c r="Z175" s="55"/>
      <c r="AA175" s="55"/>
      <c r="AB175" s="55"/>
      <c r="AC175" s="55"/>
      <c r="AD175" s="55"/>
      <c r="AF175" s="106"/>
      <c r="AG175" s="4"/>
      <c r="AH175" s="4"/>
      <c r="AI175" s="107"/>
      <c r="AJ175" s="107"/>
      <c r="AK175" s="107"/>
      <c r="AL175" s="107"/>
      <c r="AM175" s="107"/>
      <c r="AN175" s="108"/>
    </row>
    <row r="176" spans="2:40" x14ac:dyDescent="0.15">
      <c r="B176" s="113"/>
      <c r="C176" s="9"/>
      <c r="D176" s="9"/>
      <c r="E176" s="9"/>
      <c r="F176" s="98"/>
      <c r="G176" s="98"/>
      <c r="H176" s="98"/>
      <c r="I176" s="98"/>
      <c r="J176" s="98"/>
      <c r="K176" s="55"/>
      <c r="L176" s="55"/>
      <c r="M176" s="55"/>
      <c r="N176" s="55"/>
      <c r="O176" s="55"/>
      <c r="P176" s="55"/>
      <c r="Q176" s="55"/>
      <c r="R176" s="55"/>
      <c r="S176" s="55"/>
      <c r="T176" s="55"/>
      <c r="U176" s="55"/>
      <c r="V176" s="55"/>
      <c r="W176" s="55"/>
      <c r="X176" s="55"/>
      <c r="Y176" s="55"/>
      <c r="Z176" s="55"/>
      <c r="AA176" s="55"/>
      <c r="AB176" s="55"/>
      <c r="AC176" s="55"/>
      <c r="AD176" s="55"/>
      <c r="AF176" s="106"/>
      <c r="AG176" s="4"/>
      <c r="AH176" s="4"/>
      <c r="AI176" s="107"/>
      <c r="AJ176" s="107"/>
      <c r="AK176" s="107"/>
      <c r="AL176" s="107"/>
      <c r="AM176" s="107"/>
      <c r="AN176" s="108"/>
    </row>
    <row r="177" spans="2:40" ht="15" thickBot="1" x14ac:dyDescent="0.2">
      <c r="B177" s="113"/>
      <c r="C177" s="9"/>
      <c r="D177" s="9"/>
      <c r="E177" s="9"/>
      <c r="F177" s="98"/>
      <c r="G177" s="98"/>
      <c r="H177" s="98"/>
      <c r="I177" s="98"/>
      <c r="J177" s="98"/>
      <c r="K177" s="55"/>
      <c r="L177" s="55"/>
      <c r="M177" s="55"/>
      <c r="N177" s="55"/>
      <c r="O177" s="55"/>
      <c r="P177" s="55"/>
      <c r="Q177" s="55"/>
      <c r="R177" s="55"/>
      <c r="S177" s="55"/>
      <c r="T177" s="55"/>
      <c r="U177" s="55"/>
      <c r="V177" s="55"/>
      <c r="W177" s="55"/>
      <c r="X177" s="55"/>
      <c r="Y177" s="55"/>
      <c r="Z177" s="55"/>
      <c r="AA177" s="55"/>
      <c r="AB177" s="55"/>
      <c r="AC177" s="55"/>
      <c r="AD177" s="55"/>
      <c r="AF177" s="109"/>
      <c r="AG177" s="110"/>
      <c r="AH177" s="4"/>
      <c r="AI177" s="111"/>
      <c r="AJ177" s="111"/>
      <c r="AK177" s="111"/>
      <c r="AL177" s="111"/>
      <c r="AM177" s="111"/>
      <c r="AN177" s="112"/>
    </row>
    <row r="178" spans="2:40" x14ac:dyDescent="0.15">
      <c r="B178" s="113"/>
      <c r="C178" s="9"/>
      <c r="D178" s="9"/>
      <c r="E178" s="9"/>
      <c r="F178" s="98"/>
      <c r="G178" s="98"/>
      <c r="H178" s="98"/>
      <c r="I178" s="98"/>
      <c r="J178" s="98"/>
      <c r="K178" s="55"/>
      <c r="L178" s="55"/>
      <c r="M178" s="55"/>
      <c r="N178" s="55"/>
      <c r="O178" s="55"/>
      <c r="P178" s="55"/>
      <c r="Q178" s="55"/>
      <c r="R178" s="55"/>
      <c r="S178" s="55"/>
      <c r="T178" s="55"/>
      <c r="U178" s="55"/>
      <c r="V178" s="55"/>
      <c r="W178" s="55"/>
      <c r="X178" s="55"/>
      <c r="Y178" s="55"/>
      <c r="Z178" s="55"/>
      <c r="AA178" s="55"/>
      <c r="AB178" s="55"/>
      <c r="AC178" s="55"/>
      <c r="AD178" s="55"/>
      <c r="AH178" s="2"/>
    </row>
    <row r="179" spans="2:40" ht="15" thickBot="1" x14ac:dyDescent="0.2">
      <c r="B179" s="113"/>
      <c r="C179" s="9"/>
      <c r="D179" s="9"/>
      <c r="E179" s="9"/>
      <c r="F179" s="98"/>
      <c r="G179" s="98"/>
      <c r="H179" s="98"/>
      <c r="I179" s="98"/>
      <c r="J179" s="98"/>
      <c r="K179" s="55"/>
      <c r="L179" s="55"/>
      <c r="M179" s="55"/>
      <c r="N179" s="55"/>
      <c r="O179" s="55"/>
      <c r="P179" s="55"/>
      <c r="Q179" s="55"/>
      <c r="R179" s="55"/>
      <c r="S179" s="55"/>
      <c r="T179" s="55"/>
      <c r="U179" s="55"/>
      <c r="V179" s="55"/>
      <c r="W179" s="55"/>
      <c r="X179" s="55"/>
      <c r="Y179" s="55"/>
      <c r="Z179" s="55"/>
      <c r="AA179" s="55"/>
      <c r="AB179" s="55"/>
      <c r="AC179" s="55"/>
      <c r="AD179" s="55"/>
      <c r="AF179" s="99" t="s">
        <v>538</v>
      </c>
      <c r="AG179" s="23"/>
      <c r="AH179" s="9" t="s">
        <v>587</v>
      </c>
      <c r="AI179" s="9"/>
      <c r="AJ179" s="23"/>
      <c r="AK179" s="23"/>
      <c r="AL179" s="23"/>
      <c r="AM179" s="23"/>
      <c r="AN179" s="23"/>
    </row>
    <row r="180" spans="2:40" x14ac:dyDescent="0.15">
      <c r="B180" s="113"/>
      <c r="C180" s="9"/>
      <c r="D180" s="9"/>
      <c r="E180" s="9"/>
      <c r="F180" s="98"/>
      <c r="G180" s="98"/>
      <c r="H180" s="98"/>
      <c r="I180" s="98"/>
      <c r="J180" s="98"/>
      <c r="K180" s="55"/>
      <c r="L180" s="55"/>
      <c r="M180" s="55"/>
      <c r="N180" s="55"/>
      <c r="O180" s="55"/>
      <c r="P180" s="55"/>
      <c r="Q180" s="55"/>
      <c r="R180" s="55"/>
      <c r="S180" s="55"/>
      <c r="T180" s="55"/>
      <c r="U180" s="55"/>
      <c r="V180" s="55"/>
      <c r="W180" s="55"/>
      <c r="X180" s="55"/>
      <c r="Y180" s="55"/>
      <c r="Z180" s="55"/>
      <c r="AA180" s="55"/>
      <c r="AB180" s="55"/>
      <c r="AC180" s="55"/>
      <c r="AD180" s="55"/>
      <c r="AF180" s="1442" t="s">
        <v>15</v>
      </c>
      <c r="AG180" s="1448" t="s">
        <v>16</v>
      </c>
      <c r="AH180" s="1451" t="s">
        <v>17</v>
      </c>
      <c r="AI180" s="1438" t="s">
        <v>19</v>
      </c>
      <c r="AJ180" s="1454"/>
      <c r="AK180" s="1454"/>
      <c r="AL180" s="1454"/>
      <c r="AM180" s="1454"/>
      <c r="AN180" s="1455"/>
    </row>
    <row r="181" spans="2:40" x14ac:dyDescent="0.15">
      <c r="B181" s="113"/>
      <c r="C181" s="9"/>
      <c r="D181" s="9"/>
      <c r="E181" s="9"/>
      <c r="F181" s="98"/>
      <c r="G181" s="98"/>
      <c r="H181" s="98"/>
      <c r="I181" s="98"/>
      <c r="J181" s="98"/>
      <c r="K181" s="55"/>
      <c r="L181" s="55"/>
      <c r="M181" s="55"/>
      <c r="N181" s="55"/>
      <c r="O181" s="55"/>
      <c r="P181" s="55"/>
      <c r="Q181" s="55"/>
      <c r="R181" s="55"/>
      <c r="S181" s="55"/>
      <c r="T181" s="55"/>
      <c r="U181" s="55"/>
      <c r="V181" s="55"/>
      <c r="W181" s="55"/>
      <c r="X181" s="55"/>
      <c r="Y181" s="55"/>
      <c r="Z181" s="55"/>
      <c r="AA181" s="55"/>
      <c r="AB181" s="55"/>
      <c r="AC181" s="55"/>
      <c r="AD181" s="55"/>
      <c r="AF181" s="1443"/>
      <c r="AG181" s="1449"/>
      <c r="AH181" s="1452"/>
      <c r="AI181" s="733" t="s">
        <v>575</v>
      </c>
      <c r="AJ181" s="733" t="s">
        <v>576</v>
      </c>
      <c r="AK181" s="733" t="s">
        <v>577</v>
      </c>
      <c r="AL181" s="733" t="s">
        <v>578</v>
      </c>
      <c r="AM181" s="733" t="s">
        <v>579</v>
      </c>
      <c r="AN181" s="100" t="s">
        <v>580</v>
      </c>
    </row>
    <row r="182" spans="2:40" ht="15" thickBot="1" x14ac:dyDescent="0.2">
      <c r="B182" s="113"/>
      <c r="C182" s="9"/>
      <c r="D182" s="9"/>
      <c r="E182" s="9"/>
      <c r="F182" s="98"/>
      <c r="G182" s="98"/>
      <c r="H182" s="98"/>
      <c r="I182" s="98"/>
      <c r="J182" s="98"/>
      <c r="K182" s="55"/>
      <c r="L182" s="55"/>
      <c r="M182" s="55"/>
      <c r="N182" s="55"/>
      <c r="O182" s="55"/>
      <c r="P182" s="55"/>
      <c r="Q182" s="55"/>
      <c r="R182" s="55"/>
      <c r="S182" s="55"/>
      <c r="T182" s="55"/>
      <c r="U182" s="55"/>
      <c r="V182" s="55"/>
      <c r="W182" s="55"/>
      <c r="X182" s="55"/>
      <c r="Y182" s="55"/>
      <c r="Z182" s="55"/>
      <c r="AA182" s="55"/>
      <c r="AB182" s="55"/>
      <c r="AC182" s="55"/>
      <c r="AD182" s="55"/>
      <c r="AF182" s="101"/>
      <c r="AG182" s="1450"/>
      <c r="AH182" s="1453"/>
      <c r="AI182" s="734" t="s">
        <v>1</v>
      </c>
      <c r="AJ182" s="734" t="s">
        <v>3</v>
      </c>
      <c r="AK182" s="734" t="s">
        <v>2</v>
      </c>
      <c r="AL182" s="734" t="s">
        <v>4</v>
      </c>
      <c r="AM182" s="734" t="s">
        <v>244</v>
      </c>
      <c r="AN182" s="102" t="s">
        <v>20</v>
      </c>
    </row>
    <row r="183" spans="2:40" x14ac:dyDescent="0.15">
      <c r="B183" s="113"/>
      <c r="C183" s="9"/>
      <c r="D183" s="9"/>
      <c r="E183" s="9"/>
      <c r="F183" s="98"/>
      <c r="G183" s="98"/>
      <c r="H183" s="98"/>
      <c r="I183" s="98"/>
      <c r="J183" s="98"/>
      <c r="K183" s="55"/>
      <c r="L183" s="55"/>
      <c r="M183" s="55"/>
      <c r="N183" s="55"/>
      <c r="O183" s="55"/>
      <c r="P183" s="55"/>
      <c r="Q183" s="55"/>
      <c r="R183" s="55"/>
      <c r="S183" s="55"/>
      <c r="T183" s="55"/>
      <c r="U183" s="55"/>
      <c r="V183" s="55"/>
      <c r="W183" s="55"/>
      <c r="X183" s="55"/>
      <c r="Y183" s="55"/>
      <c r="Z183" s="55"/>
      <c r="AA183" s="55"/>
      <c r="AB183" s="55"/>
      <c r="AC183" s="55"/>
      <c r="AD183" s="55"/>
      <c r="AF183" s="103" t="s">
        <v>23</v>
      </c>
      <c r="AG183" s="117" t="s">
        <v>21</v>
      </c>
      <c r="AH183" s="114" t="s">
        <v>587</v>
      </c>
      <c r="AI183" s="104">
        <v>23.4</v>
      </c>
      <c r="AJ183" s="104">
        <v>17.399999999999999</v>
      </c>
      <c r="AK183" s="104">
        <v>29.4</v>
      </c>
      <c r="AL183" s="104">
        <v>1.8</v>
      </c>
      <c r="AM183" s="104">
        <v>6</v>
      </c>
      <c r="AN183" s="105">
        <v>6860</v>
      </c>
    </row>
    <row r="184" spans="2:40" x14ac:dyDescent="0.15">
      <c r="B184" s="113"/>
      <c r="C184" s="9"/>
      <c r="D184" s="9"/>
      <c r="E184" s="9"/>
      <c r="F184" s="98"/>
      <c r="G184" s="98"/>
      <c r="H184" s="98"/>
      <c r="I184" s="98"/>
      <c r="J184" s="98"/>
      <c r="K184" s="55"/>
      <c r="L184" s="55"/>
      <c r="M184" s="55"/>
      <c r="N184" s="55"/>
      <c r="O184" s="55"/>
      <c r="P184" s="55"/>
      <c r="Q184" s="55"/>
      <c r="R184" s="55"/>
      <c r="S184" s="55"/>
      <c r="T184" s="55"/>
      <c r="U184" s="55"/>
      <c r="V184" s="55"/>
      <c r="W184" s="55"/>
      <c r="X184" s="55"/>
      <c r="Y184" s="55"/>
      <c r="Z184" s="55"/>
      <c r="AA184" s="55"/>
      <c r="AB184" s="55"/>
      <c r="AC184" s="55"/>
      <c r="AD184" s="55"/>
      <c r="AF184" s="106" t="s">
        <v>24</v>
      </c>
      <c r="AG184" s="4" t="s">
        <v>21</v>
      </c>
      <c r="AH184" s="4" t="s">
        <v>587</v>
      </c>
      <c r="AI184" s="107">
        <v>18</v>
      </c>
      <c r="AJ184" s="107">
        <v>13.2</v>
      </c>
      <c r="AK184" s="107">
        <v>22.2</v>
      </c>
      <c r="AL184" s="107">
        <v>2.1</v>
      </c>
      <c r="AM184" s="107">
        <v>7.8</v>
      </c>
      <c r="AN184" s="108">
        <v>6860</v>
      </c>
    </row>
    <row r="185" spans="2:40" x14ac:dyDescent="0.15">
      <c r="B185" s="113"/>
      <c r="C185" s="9"/>
      <c r="D185" s="9"/>
      <c r="E185" s="9"/>
      <c r="F185" s="98"/>
      <c r="G185" s="98"/>
      <c r="H185" s="98"/>
      <c r="I185" s="98"/>
      <c r="J185" s="98"/>
      <c r="K185" s="55"/>
      <c r="L185" s="55"/>
      <c r="M185" s="55"/>
      <c r="N185" s="55"/>
      <c r="O185" s="55"/>
      <c r="P185" s="55"/>
      <c r="Q185" s="55"/>
      <c r="R185" s="55"/>
      <c r="S185" s="55"/>
      <c r="T185" s="55"/>
      <c r="U185" s="55"/>
      <c r="V185" s="55"/>
      <c r="W185" s="55"/>
      <c r="X185" s="55"/>
      <c r="Y185" s="55"/>
      <c r="Z185" s="55"/>
      <c r="AA185" s="55"/>
      <c r="AB185" s="55"/>
      <c r="AC185" s="55"/>
      <c r="AD185" s="55"/>
      <c r="AF185" s="106" t="s">
        <v>25</v>
      </c>
      <c r="AG185" s="4" t="s">
        <v>21</v>
      </c>
      <c r="AH185" s="4" t="s">
        <v>588</v>
      </c>
      <c r="AI185" s="107">
        <v>9.6</v>
      </c>
      <c r="AJ185" s="107">
        <v>7.2</v>
      </c>
      <c r="AK185" s="107">
        <v>12</v>
      </c>
      <c r="AL185" s="107">
        <v>2.4</v>
      </c>
      <c r="AM185" s="107">
        <v>9</v>
      </c>
      <c r="AN185" s="108">
        <v>6860</v>
      </c>
    </row>
    <row r="186" spans="2:40" x14ac:dyDescent="0.15">
      <c r="B186" s="113"/>
      <c r="C186" s="9"/>
      <c r="D186" s="9"/>
      <c r="E186" s="9"/>
      <c r="F186" s="98"/>
      <c r="G186" s="98"/>
      <c r="H186" s="98"/>
      <c r="I186" s="98"/>
      <c r="J186" s="98"/>
      <c r="K186" s="55"/>
      <c r="L186" s="55"/>
      <c r="M186" s="55"/>
      <c r="N186" s="55"/>
      <c r="O186" s="55"/>
      <c r="P186" s="55"/>
      <c r="Q186" s="55"/>
      <c r="R186" s="55"/>
      <c r="S186" s="55"/>
      <c r="T186" s="55"/>
      <c r="U186" s="55"/>
      <c r="V186" s="55"/>
      <c r="W186" s="55"/>
      <c r="X186" s="55"/>
      <c r="Y186" s="55"/>
      <c r="Z186" s="55"/>
      <c r="AA186" s="55"/>
      <c r="AB186" s="55"/>
      <c r="AC186" s="55"/>
      <c r="AD186" s="55"/>
      <c r="AF186" s="106" t="s">
        <v>26</v>
      </c>
      <c r="AG186" s="4" t="s">
        <v>21</v>
      </c>
      <c r="AH186" s="4" t="s">
        <v>589</v>
      </c>
      <c r="AI186" s="107">
        <v>9.6</v>
      </c>
      <c r="AJ186" s="107">
        <v>7.2</v>
      </c>
      <c r="AK186" s="107">
        <v>12</v>
      </c>
      <c r="AL186" s="107">
        <v>2.4</v>
      </c>
      <c r="AM186" s="107">
        <v>9</v>
      </c>
      <c r="AN186" s="108">
        <v>6860</v>
      </c>
    </row>
    <row r="187" spans="2:40" x14ac:dyDescent="0.15">
      <c r="B187" s="113"/>
      <c r="C187" s="9"/>
      <c r="D187" s="9"/>
      <c r="E187" s="9"/>
      <c r="F187" s="98"/>
      <c r="G187" s="98"/>
      <c r="H187" s="98"/>
      <c r="I187" s="98"/>
      <c r="J187" s="98"/>
      <c r="K187" s="55"/>
      <c r="L187" s="55"/>
      <c r="M187" s="55"/>
      <c r="N187" s="55"/>
      <c r="O187" s="55"/>
      <c r="P187" s="55"/>
      <c r="Q187" s="55"/>
      <c r="R187" s="55"/>
      <c r="S187" s="55"/>
      <c r="T187" s="55"/>
      <c r="U187" s="55"/>
      <c r="V187" s="55"/>
      <c r="W187" s="55"/>
      <c r="X187" s="55"/>
      <c r="Y187" s="55"/>
      <c r="Z187" s="55"/>
      <c r="AA187" s="55"/>
      <c r="AB187" s="55"/>
      <c r="AC187" s="55"/>
      <c r="AD187" s="55"/>
      <c r="AF187" s="106" t="s">
        <v>27</v>
      </c>
      <c r="AG187" s="4" t="s">
        <v>21</v>
      </c>
      <c r="AH187" s="4" t="s">
        <v>588</v>
      </c>
      <c r="AI187" s="107"/>
      <c r="AJ187" s="107"/>
      <c r="AK187" s="107"/>
      <c r="AL187" s="107"/>
      <c r="AM187" s="107"/>
      <c r="AN187" s="108"/>
    </row>
    <row r="188" spans="2:40" x14ac:dyDescent="0.15">
      <c r="B188" s="113"/>
      <c r="C188" s="9"/>
      <c r="D188" s="9"/>
      <c r="E188" s="9"/>
      <c r="F188" s="98"/>
      <c r="G188" s="98"/>
      <c r="H188" s="98"/>
      <c r="I188" s="98"/>
      <c r="J188" s="98"/>
      <c r="K188" s="55"/>
      <c r="L188" s="55"/>
      <c r="M188" s="55"/>
      <c r="N188" s="55"/>
      <c r="O188" s="55"/>
      <c r="P188" s="55"/>
      <c r="Q188" s="55"/>
      <c r="R188" s="55"/>
      <c r="S188" s="55"/>
      <c r="T188" s="55"/>
      <c r="U188" s="55"/>
      <c r="V188" s="55"/>
      <c r="W188" s="55"/>
      <c r="X188" s="55"/>
      <c r="Y188" s="55"/>
      <c r="Z188" s="55"/>
      <c r="AA188" s="55"/>
      <c r="AB188" s="55"/>
      <c r="AC188" s="55"/>
      <c r="AD188" s="55"/>
      <c r="AF188" s="106" t="s">
        <v>28</v>
      </c>
      <c r="AG188" s="4" t="s">
        <v>21</v>
      </c>
      <c r="AH188" s="4" t="s">
        <v>589</v>
      </c>
      <c r="AI188" s="107">
        <v>18</v>
      </c>
      <c r="AJ188" s="107">
        <v>13.2</v>
      </c>
      <c r="AK188" s="107">
        <v>22.2</v>
      </c>
      <c r="AL188" s="107">
        <v>2.1</v>
      </c>
      <c r="AM188" s="107">
        <v>7.8</v>
      </c>
      <c r="AN188" s="108">
        <v>6860</v>
      </c>
    </row>
    <row r="189" spans="2:40" x14ac:dyDescent="0.15">
      <c r="B189" s="113"/>
      <c r="C189" s="9"/>
      <c r="D189" s="9"/>
      <c r="E189" s="9"/>
      <c r="F189" s="98"/>
      <c r="G189" s="98"/>
      <c r="H189" s="98"/>
      <c r="I189" s="98"/>
      <c r="J189" s="98"/>
      <c r="K189" s="55"/>
      <c r="L189" s="55"/>
      <c r="M189" s="55"/>
      <c r="N189" s="55"/>
      <c r="O189" s="55"/>
      <c r="P189" s="55"/>
      <c r="Q189" s="55"/>
      <c r="R189" s="55"/>
      <c r="S189" s="55"/>
      <c r="T189" s="55"/>
      <c r="U189" s="55"/>
      <c r="V189" s="55"/>
      <c r="W189" s="55"/>
      <c r="X189" s="55"/>
      <c r="Y189" s="55"/>
      <c r="Z189" s="55"/>
      <c r="AA189" s="55"/>
      <c r="AB189" s="55"/>
      <c r="AC189" s="55"/>
      <c r="AD189" s="55"/>
      <c r="AF189" s="106" t="s">
        <v>585</v>
      </c>
      <c r="AG189" s="4" t="s">
        <v>21</v>
      </c>
      <c r="AH189" s="4" t="s">
        <v>589</v>
      </c>
      <c r="AI189" s="107">
        <v>18</v>
      </c>
      <c r="AJ189" s="107">
        <v>13.2</v>
      </c>
      <c r="AK189" s="107">
        <v>22.2</v>
      </c>
      <c r="AL189" s="107">
        <v>2.1</v>
      </c>
      <c r="AM189" s="107">
        <v>7.8</v>
      </c>
      <c r="AN189" s="108">
        <v>6860</v>
      </c>
    </row>
    <row r="190" spans="2:40" x14ac:dyDescent="0.15">
      <c r="B190" s="113"/>
      <c r="C190" s="9"/>
      <c r="D190" s="9"/>
      <c r="E190" s="9"/>
      <c r="F190" s="98"/>
      <c r="G190" s="98"/>
      <c r="H190" s="98"/>
      <c r="I190" s="98"/>
      <c r="J190" s="98"/>
      <c r="K190" s="55"/>
      <c r="L190" s="55"/>
      <c r="M190" s="55"/>
      <c r="N190" s="55"/>
      <c r="O190" s="55"/>
      <c r="P190" s="55"/>
      <c r="Q190" s="55"/>
      <c r="R190" s="55"/>
      <c r="S190" s="55"/>
      <c r="T190" s="55"/>
      <c r="U190" s="55"/>
      <c r="V190" s="55"/>
      <c r="W190" s="55"/>
      <c r="X190" s="55"/>
      <c r="Y190" s="55"/>
      <c r="Z190" s="55"/>
      <c r="AA190" s="55"/>
      <c r="AB190" s="55"/>
      <c r="AC190" s="55"/>
      <c r="AD190" s="55"/>
      <c r="AF190" s="106" t="s">
        <v>30</v>
      </c>
      <c r="AG190" s="4" t="s">
        <v>21</v>
      </c>
      <c r="AH190" s="4" t="s">
        <v>587</v>
      </c>
      <c r="AI190" s="107"/>
      <c r="AJ190" s="107"/>
      <c r="AK190" s="107"/>
      <c r="AL190" s="107"/>
      <c r="AM190" s="107"/>
      <c r="AN190" s="108"/>
    </row>
    <row r="191" spans="2:40" x14ac:dyDescent="0.15">
      <c r="B191" s="113"/>
      <c r="C191" s="9"/>
      <c r="D191" s="9"/>
      <c r="E191" s="9"/>
      <c r="F191" s="98"/>
      <c r="G191" s="98"/>
      <c r="H191" s="98"/>
      <c r="I191" s="98"/>
      <c r="J191" s="98"/>
      <c r="K191" s="55"/>
      <c r="L191" s="55"/>
      <c r="M191" s="55"/>
      <c r="N191" s="55"/>
      <c r="O191" s="55"/>
      <c r="P191" s="55"/>
      <c r="Q191" s="55"/>
      <c r="R191" s="55"/>
      <c r="S191" s="55"/>
      <c r="T191" s="55"/>
      <c r="U191" s="55"/>
      <c r="V191" s="55"/>
      <c r="W191" s="55"/>
      <c r="X191" s="55"/>
      <c r="Y191" s="55"/>
      <c r="Z191" s="55"/>
      <c r="AA191" s="55"/>
      <c r="AB191" s="55"/>
      <c r="AC191" s="55"/>
      <c r="AD191" s="55"/>
      <c r="AF191" s="106" t="s">
        <v>31</v>
      </c>
      <c r="AG191" s="4" t="s">
        <v>21</v>
      </c>
      <c r="AH191" s="4" t="s">
        <v>588</v>
      </c>
      <c r="AI191" s="107">
        <v>9.6</v>
      </c>
      <c r="AJ191" s="107">
        <v>7.2</v>
      </c>
      <c r="AK191" s="107">
        <v>12</v>
      </c>
      <c r="AL191" s="107">
        <v>2.1</v>
      </c>
      <c r="AM191" s="107">
        <v>6</v>
      </c>
      <c r="AN191" s="108">
        <v>6860</v>
      </c>
    </row>
    <row r="192" spans="2:40" x14ac:dyDescent="0.15">
      <c r="B192" s="113"/>
      <c r="C192" s="9"/>
      <c r="D192" s="9"/>
      <c r="E192" s="9"/>
      <c r="F192" s="98"/>
      <c r="G192" s="98"/>
      <c r="H192" s="98"/>
      <c r="I192" s="98"/>
      <c r="J192" s="98"/>
      <c r="K192" s="55"/>
      <c r="L192" s="55"/>
      <c r="M192" s="55"/>
      <c r="N192" s="55"/>
      <c r="O192" s="55"/>
      <c r="P192" s="55"/>
      <c r="Q192" s="55"/>
      <c r="R192" s="55"/>
      <c r="S192" s="55"/>
      <c r="T192" s="55"/>
      <c r="U192" s="55"/>
      <c r="V192" s="55"/>
      <c r="W192" s="55"/>
      <c r="X192" s="55"/>
      <c r="Y192" s="55"/>
      <c r="Z192" s="55"/>
      <c r="AA192" s="55"/>
      <c r="AB192" s="55"/>
      <c r="AC192" s="55"/>
      <c r="AD192" s="55"/>
      <c r="AF192" s="106" t="s">
        <v>586</v>
      </c>
      <c r="AG192" s="4" t="s">
        <v>21</v>
      </c>
      <c r="AH192" s="4" t="s">
        <v>588</v>
      </c>
      <c r="AI192" s="107"/>
      <c r="AJ192" s="107"/>
      <c r="AK192" s="107"/>
      <c r="AL192" s="107"/>
      <c r="AM192" s="107"/>
      <c r="AN192" s="108"/>
    </row>
    <row r="193" spans="2:40" x14ac:dyDescent="0.15">
      <c r="B193" s="113"/>
      <c r="C193" s="9"/>
      <c r="D193" s="9"/>
      <c r="E193" s="9"/>
      <c r="F193" s="98"/>
      <c r="G193" s="98"/>
      <c r="H193" s="98"/>
      <c r="I193" s="98"/>
      <c r="J193" s="98"/>
      <c r="K193" s="55"/>
      <c r="L193" s="55"/>
      <c r="M193" s="55"/>
      <c r="N193" s="55"/>
      <c r="O193" s="55"/>
      <c r="P193" s="55"/>
      <c r="Q193" s="55"/>
      <c r="R193" s="55"/>
      <c r="S193" s="55"/>
      <c r="T193" s="55"/>
      <c r="U193" s="55"/>
      <c r="V193" s="55"/>
      <c r="W193" s="55"/>
      <c r="X193" s="55"/>
      <c r="Y193" s="55"/>
      <c r="Z193" s="55"/>
      <c r="AA193" s="55"/>
      <c r="AB193" s="55"/>
      <c r="AC193" s="55"/>
      <c r="AD193" s="55"/>
      <c r="AF193" s="106" t="s">
        <v>33</v>
      </c>
      <c r="AG193" s="4" t="s">
        <v>21</v>
      </c>
      <c r="AH193" s="4" t="s">
        <v>589</v>
      </c>
      <c r="AI193" s="107">
        <v>9.6</v>
      </c>
      <c r="AJ193" s="107">
        <v>7.2</v>
      </c>
      <c r="AK193" s="107">
        <v>12</v>
      </c>
      <c r="AL193" s="107">
        <v>1.8</v>
      </c>
      <c r="AM193" s="107">
        <v>6</v>
      </c>
      <c r="AN193" s="108">
        <v>6860</v>
      </c>
    </row>
    <row r="194" spans="2:40" x14ac:dyDescent="0.15">
      <c r="B194" s="113"/>
      <c r="C194" s="9"/>
      <c r="D194" s="9"/>
      <c r="E194" s="9"/>
      <c r="F194" s="98"/>
      <c r="G194" s="98"/>
      <c r="H194" s="98"/>
      <c r="I194" s="98"/>
      <c r="J194" s="98"/>
      <c r="K194" s="55"/>
      <c r="L194" s="55"/>
      <c r="M194" s="55"/>
      <c r="N194" s="55"/>
      <c r="O194" s="55"/>
      <c r="P194" s="55"/>
      <c r="Q194" s="55"/>
      <c r="R194" s="55"/>
      <c r="S194" s="55"/>
      <c r="T194" s="55"/>
      <c r="U194" s="55"/>
      <c r="V194" s="55"/>
      <c r="W194" s="55"/>
      <c r="X194" s="55"/>
      <c r="Y194" s="55"/>
      <c r="Z194" s="55"/>
      <c r="AA194" s="55"/>
      <c r="AB194" s="55"/>
      <c r="AC194" s="55"/>
      <c r="AD194" s="55"/>
      <c r="AF194" s="106" t="s">
        <v>34</v>
      </c>
      <c r="AG194" s="4" t="s">
        <v>21</v>
      </c>
      <c r="AH194" s="4" t="s">
        <v>587</v>
      </c>
      <c r="AI194" s="107">
        <v>9.6</v>
      </c>
      <c r="AJ194" s="107">
        <v>7.2</v>
      </c>
      <c r="AK194" s="107">
        <v>12</v>
      </c>
      <c r="AL194" s="107">
        <v>1.8</v>
      </c>
      <c r="AM194" s="107">
        <v>6</v>
      </c>
      <c r="AN194" s="108">
        <v>6860</v>
      </c>
    </row>
    <row r="195" spans="2:40" x14ac:dyDescent="0.15">
      <c r="B195" s="113"/>
      <c r="C195" s="9"/>
      <c r="D195" s="9"/>
      <c r="E195" s="9"/>
      <c r="F195" s="98"/>
      <c r="G195" s="98"/>
      <c r="H195" s="98"/>
      <c r="I195" s="98"/>
      <c r="J195" s="98"/>
      <c r="K195" s="55"/>
      <c r="L195" s="55"/>
      <c r="M195" s="55"/>
      <c r="N195" s="55"/>
      <c r="O195" s="55"/>
      <c r="P195" s="55"/>
      <c r="Q195" s="55"/>
      <c r="R195" s="55"/>
      <c r="S195" s="55"/>
      <c r="T195" s="55"/>
      <c r="U195" s="55"/>
      <c r="V195" s="55"/>
      <c r="W195" s="55"/>
      <c r="X195" s="55"/>
      <c r="Y195" s="55"/>
      <c r="Z195" s="55"/>
      <c r="AA195" s="55"/>
      <c r="AB195" s="55"/>
      <c r="AC195" s="55"/>
      <c r="AD195" s="55"/>
      <c r="AF195" s="106"/>
      <c r="AG195" s="4"/>
      <c r="AH195" s="4"/>
      <c r="AI195" s="107"/>
      <c r="AJ195" s="107"/>
      <c r="AK195" s="107"/>
      <c r="AL195" s="107"/>
      <c r="AM195" s="107"/>
      <c r="AN195" s="108"/>
    </row>
    <row r="196" spans="2:40" x14ac:dyDescent="0.15">
      <c r="B196" s="113"/>
      <c r="C196" s="9"/>
      <c r="D196" s="9"/>
      <c r="E196" s="9"/>
      <c r="F196" s="98"/>
      <c r="G196" s="98"/>
      <c r="H196" s="98"/>
      <c r="I196" s="98"/>
      <c r="J196" s="98"/>
      <c r="K196" s="55"/>
      <c r="L196" s="55"/>
      <c r="M196" s="55"/>
      <c r="N196" s="55"/>
      <c r="O196" s="55"/>
      <c r="P196" s="55"/>
      <c r="Q196" s="55"/>
      <c r="R196" s="55"/>
      <c r="S196" s="55"/>
      <c r="T196" s="55"/>
      <c r="U196" s="55"/>
      <c r="V196" s="55"/>
      <c r="W196" s="55"/>
      <c r="X196" s="55"/>
      <c r="Y196" s="55"/>
      <c r="Z196" s="55"/>
      <c r="AA196" s="55"/>
      <c r="AB196" s="55"/>
      <c r="AC196" s="55"/>
      <c r="AD196" s="55"/>
      <c r="AF196" s="106"/>
      <c r="AG196" s="4"/>
      <c r="AH196" s="4"/>
      <c r="AI196" s="107"/>
      <c r="AJ196" s="107"/>
      <c r="AK196" s="107"/>
      <c r="AL196" s="107"/>
      <c r="AM196" s="107"/>
      <c r="AN196" s="108"/>
    </row>
    <row r="197" spans="2:40" x14ac:dyDescent="0.15">
      <c r="B197" s="113"/>
      <c r="C197" s="9"/>
      <c r="D197" s="9"/>
      <c r="E197" s="9"/>
      <c r="F197" s="98"/>
      <c r="G197" s="98"/>
      <c r="H197" s="98"/>
      <c r="I197" s="98"/>
      <c r="J197" s="98"/>
      <c r="K197" s="55"/>
      <c r="L197" s="55"/>
      <c r="M197" s="55"/>
      <c r="N197" s="55"/>
      <c r="O197" s="55"/>
      <c r="P197" s="55"/>
      <c r="Q197" s="55"/>
      <c r="R197" s="55"/>
      <c r="S197" s="55"/>
      <c r="T197" s="55"/>
      <c r="U197" s="55"/>
      <c r="V197" s="55"/>
      <c r="W197" s="55"/>
      <c r="X197" s="55"/>
      <c r="Y197" s="55"/>
      <c r="Z197" s="55"/>
      <c r="AA197" s="55"/>
      <c r="AB197" s="55"/>
      <c r="AC197" s="55"/>
      <c r="AD197" s="55"/>
      <c r="AF197" s="106"/>
      <c r="AG197" s="4"/>
      <c r="AH197" s="4"/>
      <c r="AI197" s="107"/>
      <c r="AJ197" s="107"/>
      <c r="AK197" s="107"/>
      <c r="AL197" s="107"/>
      <c r="AM197" s="107"/>
      <c r="AN197" s="108"/>
    </row>
    <row r="198" spans="2:40" x14ac:dyDescent="0.15">
      <c r="B198" s="113"/>
      <c r="C198" s="9"/>
      <c r="D198" s="9"/>
      <c r="E198" s="9"/>
      <c r="F198" s="98"/>
      <c r="G198" s="98"/>
      <c r="H198" s="98"/>
      <c r="I198" s="98"/>
      <c r="J198" s="98"/>
      <c r="K198" s="55"/>
      <c r="L198" s="55"/>
      <c r="M198" s="55"/>
      <c r="N198" s="55"/>
      <c r="O198" s="55"/>
      <c r="P198" s="55"/>
      <c r="Q198" s="55"/>
      <c r="R198" s="55"/>
      <c r="S198" s="55"/>
      <c r="T198" s="55"/>
      <c r="U198" s="55"/>
      <c r="V198" s="55"/>
      <c r="W198" s="55"/>
      <c r="X198" s="55"/>
      <c r="Y198" s="55"/>
      <c r="Z198" s="55"/>
      <c r="AA198" s="55"/>
      <c r="AB198" s="55"/>
      <c r="AC198" s="55"/>
      <c r="AD198" s="55"/>
      <c r="AF198" s="106"/>
      <c r="AG198" s="4"/>
      <c r="AH198" s="4"/>
      <c r="AI198" s="107"/>
      <c r="AJ198" s="107"/>
      <c r="AK198" s="107"/>
      <c r="AL198" s="107"/>
      <c r="AM198" s="107"/>
      <c r="AN198" s="108"/>
    </row>
    <row r="199" spans="2:40" ht="15" thickBot="1" x14ac:dyDescent="0.2">
      <c r="B199" s="113"/>
      <c r="C199" s="9"/>
      <c r="D199" s="9"/>
      <c r="E199" s="9"/>
      <c r="F199" s="98"/>
      <c r="G199" s="98"/>
      <c r="H199" s="98"/>
      <c r="I199" s="98"/>
      <c r="J199" s="98"/>
      <c r="K199" s="55"/>
      <c r="L199" s="55"/>
      <c r="M199" s="55"/>
      <c r="N199" s="55"/>
      <c r="O199" s="55"/>
      <c r="P199" s="55"/>
      <c r="Q199" s="55"/>
      <c r="R199" s="55"/>
      <c r="S199" s="55"/>
      <c r="T199" s="55"/>
      <c r="U199" s="55"/>
      <c r="V199" s="55"/>
      <c r="W199" s="55"/>
      <c r="X199" s="55"/>
      <c r="Y199" s="55"/>
      <c r="Z199" s="55"/>
      <c r="AA199" s="55"/>
      <c r="AB199" s="55"/>
      <c r="AC199" s="55"/>
      <c r="AD199" s="55"/>
      <c r="AF199" s="109"/>
      <c r="AG199" s="110"/>
      <c r="AH199" s="110"/>
      <c r="AI199" s="111"/>
      <c r="AJ199" s="111"/>
      <c r="AK199" s="111"/>
      <c r="AL199" s="111"/>
      <c r="AM199" s="111"/>
      <c r="AN199" s="112"/>
    </row>
    <row r="200" spans="2:40" x14ac:dyDescent="0.15">
      <c r="B200" s="113"/>
      <c r="C200" s="9"/>
      <c r="D200" s="9"/>
      <c r="E200" s="9"/>
      <c r="F200" s="98"/>
      <c r="G200" s="98"/>
      <c r="H200" s="98"/>
      <c r="I200" s="98"/>
      <c r="J200" s="98"/>
      <c r="K200" s="55"/>
      <c r="L200" s="55"/>
      <c r="M200" s="55"/>
      <c r="N200" s="55"/>
      <c r="O200" s="55"/>
      <c r="P200" s="55"/>
      <c r="Q200" s="55"/>
      <c r="R200" s="55"/>
      <c r="S200" s="55"/>
      <c r="T200" s="55"/>
      <c r="U200" s="55"/>
      <c r="V200" s="55"/>
      <c r="W200" s="55"/>
      <c r="X200" s="55"/>
      <c r="Y200" s="55"/>
      <c r="Z200" s="55"/>
      <c r="AA200" s="55"/>
      <c r="AB200" s="55"/>
      <c r="AC200" s="55"/>
      <c r="AD200" s="55"/>
    </row>
    <row r="201" spans="2:40" ht="15" thickBot="1" x14ac:dyDescent="0.2">
      <c r="B201" s="113"/>
      <c r="C201" s="9"/>
      <c r="D201" s="9"/>
      <c r="E201" s="9"/>
      <c r="F201" s="98"/>
      <c r="G201" s="98"/>
      <c r="H201" s="98"/>
      <c r="I201" s="98"/>
      <c r="J201" s="98"/>
      <c r="K201" s="55"/>
      <c r="L201" s="55"/>
      <c r="M201" s="55"/>
      <c r="N201" s="55"/>
      <c r="O201" s="55"/>
      <c r="P201" s="55"/>
      <c r="Q201" s="55"/>
      <c r="R201" s="55"/>
      <c r="S201" s="55"/>
      <c r="T201" s="55"/>
      <c r="U201" s="55"/>
      <c r="V201" s="55"/>
      <c r="W201" s="55"/>
      <c r="X201" s="55"/>
      <c r="Y201" s="55"/>
      <c r="Z201" s="55"/>
      <c r="AA201" s="55"/>
      <c r="AB201" s="55"/>
      <c r="AC201" s="55"/>
      <c r="AD201" s="55"/>
      <c r="AF201" s="99" t="s">
        <v>538</v>
      </c>
      <c r="AG201" s="23"/>
      <c r="AH201" s="9" t="s">
        <v>590</v>
      </c>
      <c r="AI201" s="9"/>
      <c r="AJ201" s="23"/>
      <c r="AK201" s="23"/>
      <c r="AL201" s="23"/>
      <c r="AM201" s="23"/>
      <c r="AN201" s="23"/>
    </row>
    <row r="202" spans="2:40" x14ac:dyDescent="0.15">
      <c r="B202" s="113"/>
      <c r="C202" s="9"/>
      <c r="D202" s="9"/>
      <c r="E202" s="9"/>
      <c r="F202" s="98"/>
      <c r="G202" s="98"/>
      <c r="H202" s="98"/>
      <c r="I202" s="98"/>
      <c r="J202" s="98"/>
      <c r="K202" s="55"/>
      <c r="L202" s="55"/>
      <c r="M202" s="55"/>
      <c r="N202" s="55"/>
      <c r="O202" s="55"/>
      <c r="P202" s="55"/>
      <c r="Q202" s="55"/>
      <c r="R202" s="55"/>
      <c r="S202" s="55"/>
      <c r="T202" s="55"/>
      <c r="U202" s="55"/>
      <c r="V202" s="55"/>
      <c r="W202" s="55"/>
      <c r="X202" s="55"/>
      <c r="Y202" s="55"/>
      <c r="Z202" s="55"/>
      <c r="AA202" s="55"/>
      <c r="AB202" s="55"/>
      <c r="AC202" s="55"/>
      <c r="AD202" s="55"/>
      <c r="AF202" s="1442" t="s">
        <v>15</v>
      </c>
      <c r="AG202" s="1448" t="s">
        <v>16</v>
      </c>
      <c r="AH202" s="1451" t="s">
        <v>17</v>
      </c>
      <c r="AI202" s="1438" t="s">
        <v>19</v>
      </c>
      <c r="AJ202" s="1454"/>
      <c r="AK202" s="1454"/>
      <c r="AL202" s="1454"/>
      <c r="AM202" s="1454"/>
      <c r="AN202" s="1455"/>
    </row>
    <row r="203" spans="2:40" x14ac:dyDescent="0.15">
      <c r="B203" s="113"/>
      <c r="C203" s="9"/>
      <c r="D203" s="9"/>
      <c r="E203" s="9"/>
      <c r="F203" s="98"/>
      <c r="G203" s="98"/>
      <c r="H203" s="98"/>
      <c r="I203" s="98"/>
      <c r="J203" s="98"/>
      <c r="K203" s="55"/>
      <c r="L203" s="55"/>
      <c r="M203" s="55"/>
      <c r="N203" s="55"/>
      <c r="O203" s="55"/>
      <c r="P203" s="55"/>
      <c r="Q203" s="55"/>
      <c r="R203" s="55"/>
      <c r="S203" s="55"/>
      <c r="T203" s="55"/>
      <c r="U203" s="55"/>
      <c r="V203" s="55"/>
      <c r="W203" s="55"/>
      <c r="X203" s="55"/>
      <c r="Y203" s="55"/>
      <c r="Z203" s="55"/>
      <c r="AA203" s="55"/>
      <c r="AB203" s="55"/>
      <c r="AC203" s="55"/>
      <c r="AD203" s="55"/>
      <c r="AF203" s="1443"/>
      <c r="AG203" s="1449"/>
      <c r="AH203" s="1452"/>
      <c r="AI203" s="733" t="s">
        <v>575</v>
      </c>
      <c r="AJ203" s="733" t="s">
        <v>576</v>
      </c>
      <c r="AK203" s="733" t="s">
        <v>577</v>
      </c>
      <c r="AL203" s="733" t="s">
        <v>578</v>
      </c>
      <c r="AM203" s="733" t="s">
        <v>579</v>
      </c>
      <c r="AN203" s="100" t="s">
        <v>580</v>
      </c>
    </row>
    <row r="204" spans="2:40" ht="15" thickBot="1" x14ac:dyDescent="0.2">
      <c r="B204" s="113"/>
      <c r="C204" s="9"/>
      <c r="D204" s="9"/>
      <c r="E204" s="9"/>
      <c r="F204" s="98"/>
      <c r="G204" s="98"/>
      <c r="H204" s="98"/>
      <c r="I204" s="98"/>
      <c r="J204" s="98"/>
      <c r="K204" s="55"/>
      <c r="L204" s="55"/>
      <c r="M204" s="55"/>
      <c r="N204" s="55"/>
      <c r="O204" s="55"/>
      <c r="P204" s="55"/>
      <c r="Q204" s="55"/>
      <c r="R204" s="55"/>
      <c r="S204" s="55"/>
      <c r="T204" s="55"/>
      <c r="U204" s="55"/>
      <c r="V204" s="55"/>
      <c r="W204" s="55"/>
      <c r="X204" s="55"/>
      <c r="Y204" s="55"/>
      <c r="Z204" s="55"/>
      <c r="AA204" s="55"/>
      <c r="AB204" s="55"/>
      <c r="AC204" s="55"/>
      <c r="AD204" s="55"/>
      <c r="AF204" s="101"/>
      <c r="AG204" s="1450"/>
      <c r="AH204" s="1453"/>
      <c r="AI204" s="734" t="s">
        <v>1</v>
      </c>
      <c r="AJ204" s="734" t="s">
        <v>3</v>
      </c>
      <c r="AK204" s="734" t="s">
        <v>2</v>
      </c>
      <c r="AL204" s="734" t="s">
        <v>4</v>
      </c>
      <c r="AM204" s="734" t="s">
        <v>244</v>
      </c>
      <c r="AN204" s="102" t="s">
        <v>20</v>
      </c>
    </row>
    <row r="205" spans="2:40" x14ac:dyDescent="0.15">
      <c r="B205" s="113"/>
      <c r="C205" s="9"/>
      <c r="D205" s="9"/>
      <c r="E205" s="9"/>
      <c r="F205" s="98"/>
      <c r="G205" s="98"/>
      <c r="H205" s="98"/>
      <c r="I205" s="98"/>
      <c r="J205" s="98"/>
      <c r="K205" s="55"/>
      <c r="L205" s="55"/>
      <c r="M205" s="55"/>
      <c r="N205" s="55"/>
      <c r="O205" s="55"/>
      <c r="P205" s="55"/>
      <c r="Q205" s="55"/>
      <c r="R205" s="55"/>
      <c r="S205" s="55"/>
      <c r="T205" s="55"/>
      <c r="U205" s="55"/>
      <c r="V205" s="55"/>
      <c r="W205" s="55"/>
      <c r="X205" s="55"/>
      <c r="Y205" s="55"/>
      <c r="Z205" s="55"/>
      <c r="AA205" s="55"/>
      <c r="AB205" s="55"/>
      <c r="AC205" s="55"/>
      <c r="AD205" s="55"/>
      <c r="AF205" s="103" t="s">
        <v>23</v>
      </c>
      <c r="AG205" s="117" t="s">
        <v>21</v>
      </c>
      <c r="AH205" s="114" t="s">
        <v>590</v>
      </c>
      <c r="AI205" s="104">
        <v>28.2</v>
      </c>
      <c r="AJ205" s="104">
        <v>21</v>
      </c>
      <c r="AK205" s="104">
        <v>34.799999999999997</v>
      </c>
      <c r="AL205" s="104">
        <v>1.8</v>
      </c>
      <c r="AM205" s="104">
        <v>6</v>
      </c>
      <c r="AN205" s="105">
        <v>8820</v>
      </c>
    </row>
    <row r="206" spans="2:40" x14ac:dyDescent="0.15">
      <c r="B206" s="113"/>
      <c r="C206" s="9"/>
      <c r="D206" s="9"/>
      <c r="E206" s="9"/>
      <c r="F206" s="98"/>
      <c r="G206" s="98"/>
      <c r="H206" s="98"/>
      <c r="I206" s="98"/>
      <c r="J206" s="98"/>
      <c r="K206" s="55"/>
      <c r="L206" s="55"/>
      <c r="M206" s="55"/>
      <c r="N206" s="55"/>
      <c r="O206" s="55"/>
      <c r="P206" s="55"/>
      <c r="Q206" s="55"/>
      <c r="R206" s="55"/>
      <c r="S206" s="55"/>
      <c r="T206" s="55"/>
      <c r="U206" s="55"/>
      <c r="V206" s="55"/>
      <c r="W206" s="55"/>
      <c r="X206" s="55"/>
      <c r="Y206" s="55"/>
      <c r="Z206" s="55"/>
      <c r="AA206" s="55"/>
      <c r="AB206" s="55"/>
      <c r="AC206" s="55"/>
      <c r="AD206" s="55"/>
      <c r="AF206" s="106" t="s">
        <v>24</v>
      </c>
      <c r="AG206" s="4" t="s">
        <v>21</v>
      </c>
      <c r="AH206" s="4" t="s">
        <v>590</v>
      </c>
      <c r="AI206" s="107">
        <v>24.6</v>
      </c>
      <c r="AJ206" s="107">
        <v>18.600000000000001</v>
      </c>
      <c r="AK206" s="107">
        <v>30.6</v>
      </c>
      <c r="AL206" s="107">
        <v>2.1</v>
      </c>
      <c r="AM206" s="107">
        <v>7.8</v>
      </c>
      <c r="AN206" s="108">
        <v>8820</v>
      </c>
    </row>
    <row r="207" spans="2:40" x14ac:dyDescent="0.15">
      <c r="B207" s="113"/>
      <c r="C207" s="9"/>
      <c r="D207" s="9"/>
      <c r="E207" s="9"/>
      <c r="F207" s="98"/>
      <c r="G207" s="98"/>
      <c r="H207" s="98"/>
      <c r="I207" s="98"/>
      <c r="J207" s="98"/>
      <c r="K207" s="55"/>
      <c r="L207" s="55"/>
      <c r="M207" s="55"/>
      <c r="N207" s="55"/>
      <c r="O207" s="55"/>
      <c r="P207" s="55"/>
      <c r="Q207" s="55"/>
      <c r="R207" s="55"/>
      <c r="S207" s="55"/>
      <c r="T207" s="55"/>
      <c r="U207" s="55"/>
      <c r="V207" s="55"/>
      <c r="W207" s="55"/>
      <c r="X207" s="55"/>
      <c r="Y207" s="55"/>
      <c r="Z207" s="55"/>
      <c r="AA207" s="55"/>
      <c r="AB207" s="55"/>
      <c r="AC207" s="55"/>
      <c r="AD207" s="55"/>
      <c r="AF207" s="106" t="s">
        <v>25</v>
      </c>
      <c r="AG207" s="4" t="s">
        <v>21</v>
      </c>
      <c r="AH207" s="4" t="s">
        <v>591</v>
      </c>
      <c r="AI207" s="107">
        <v>18.600000000000001</v>
      </c>
      <c r="AJ207" s="107">
        <v>12.6</v>
      </c>
      <c r="AK207" s="107">
        <v>21</v>
      </c>
      <c r="AL207" s="107">
        <v>2.4</v>
      </c>
      <c r="AM207" s="107">
        <v>9</v>
      </c>
      <c r="AN207" s="108">
        <v>8820</v>
      </c>
    </row>
    <row r="208" spans="2:40" x14ac:dyDescent="0.15">
      <c r="B208" s="113"/>
      <c r="C208" s="9"/>
      <c r="D208" s="9"/>
      <c r="E208" s="9"/>
      <c r="F208" s="98"/>
      <c r="G208" s="98"/>
      <c r="H208" s="98"/>
      <c r="I208" s="98"/>
      <c r="J208" s="98"/>
      <c r="K208" s="55"/>
      <c r="L208" s="55"/>
      <c r="M208" s="55"/>
      <c r="N208" s="55"/>
      <c r="O208" s="55"/>
      <c r="P208" s="55"/>
      <c r="Q208" s="55"/>
      <c r="R208" s="55"/>
      <c r="S208" s="55"/>
      <c r="T208" s="55"/>
      <c r="U208" s="55"/>
      <c r="V208" s="55"/>
      <c r="W208" s="55"/>
      <c r="X208" s="55"/>
      <c r="Y208" s="55"/>
      <c r="Z208" s="55"/>
      <c r="AA208" s="55"/>
      <c r="AB208" s="55"/>
      <c r="AC208" s="55"/>
      <c r="AD208" s="55"/>
      <c r="AF208" s="106" t="s">
        <v>26</v>
      </c>
      <c r="AG208" s="4" t="s">
        <v>21</v>
      </c>
      <c r="AH208" s="4" t="s">
        <v>592</v>
      </c>
      <c r="AI208" s="107">
        <v>18.600000000000001</v>
      </c>
      <c r="AJ208" s="107">
        <v>12.6</v>
      </c>
      <c r="AK208" s="107">
        <v>21</v>
      </c>
      <c r="AL208" s="107">
        <v>2.4</v>
      </c>
      <c r="AM208" s="107">
        <v>9</v>
      </c>
      <c r="AN208" s="108">
        <v>8820</v>
      </c>
    </row>
    <row r="209" spans="2:40" x14ac:dyDescent="0.15">
      <c r="B209" s="113"/>
      <c r="C209" s="9"/>
      <c r="D209" s="9"/>
      <c r="E209" s="9"/>
      <c r="F209" s="98"/>
      <c r="G209" s="98"/>
      <c r="H209" s="98"/>
      <c r="I209" s="98"/>
      <c r="J209" s="98"/>
      <c r="K209" s="55"/>
      <c r="L209" s="55"/>
      <c r="M209" s="55"/>
      <c r="N209" s="55"/>
      <c r="O209" s="55"/>
      <c r="P209" s="55"/>
      <c r="Q209" s="55"/>
      <c r="R209" s="55"/>
      <c r="S209" s="55"/>
      <c r="T209" s="55"/>
      <c r="U209" s="55"/>
      <c r="V209" s="55"/>
      <c r="W209" s="55"/>
      <c r="X209" s="55"/>
      <c r="Y209" s="55"/>
      <c r="Z209" s="55"/>
      <c r="AA209" s="55"/>
      <c r="AB209" s="55"/>
      <c r="AC209" s="55"/>
      <c r="AD209" s="55"/>
      <c r="AF209" s="106" t="s">
        <v>27</v>
      </c>
      <c r="AG209" s="4" t="s">
        <v>21</v>
      </c>
      <c r="AH209" s="4" t="s">
        <v>591</v>
      </c>
      <c r="AI209" s="107"/>
      <c r="AJ209" s="107"/>
      <c r="AK209" s="107"/>
      <c r="AL209" s="107"/>
      <c r="AM209" s="107"/>
      <c r="AN209" s="108"/>
    </row>
    <row r="210" spans="2:40" x14ac:dyDescent="0.15">
      <c r="B210" s="113"/>
      <c r="C210" s="9"/>
      <c r="D210" s="9"/>
      <c r="E210" s="9"/>
      <c r="F210" s="98"/>
      <c r="G210" s="98"/>
      <c r="H210" s="98"/>
      <c r="I210" s="98"/>
      <c r="J210" s="98"/>
      <c r="K210" s="55"/>
      <c r="L210" s="55"/>
      <c r="M210" s="55"/>
      <c r="N210" s="55"/>
      <c r="O210" s="55"/>
      <c r="P210" s="55"/>
      <c r="Q210" s="55"/>
      <c r="R210" s="55"/>
      <c r="S210" s="55"/>
      <c r="T210" s="55"/>
      <c r="U210" s="55"/>
      <c r="V210" s="55"/>
      <c r="W210" s="55"/>
      <c r="X210" s="55"/>
      <c r="Y210" s="55"/>
      <c r="Z210" s="55"/>
      <c r="AA210" s="55"/>
      <c r="AB210" s="55"/>
      <c r="AC210" s="55"/>
      <c r="AD210" s="55"/>
      <c r="AF210" s="106" t="s">
        <v>28</v>
      </c>
      <c r="AG210" s="4" t="s">
        <v>21</v>
      </c>
      <c r="AH210" s="4" t="s">
        <v>592</v>
      </c>
      <c r="AI210" s="107">
        <v>24.6</v>
      </c>
      <c r="AJ210" s="107">
        <v>18.600000000000001</v>
      </c>
      <c r="AK210" s="107">
        <v>30.6</v>
      </c>
      <c r="AL210" s="107">
        <v>2.1</v>
      </c>
      <c r="AM210" s="107">
        <v>7.8</v>
      </c>
      <c r="AN210" s="108">
        <v>8820</v>
      </c>
    </row>
    <row r="211" spans="2:40" x14ac:dyDescent="0.15">
      <c r="B211" s="113"/>
      <c r="C211" s="9"/>
      <c r="D211" s="9"/>
      <c r="E211" s="9"/>
      <c r="F211" s="98"/>
      <c r="G211" s="98"/>
      <c r="H211" s="98"/>
      <c r="I211" s="98"/>
      <c r="J211" s="98"/>
      <c r="K211" s="55"/>
      <c r="L211" s="55"/>
      <c r="M211" s="55"/>
      <c r="N211" s="55"/>
      <c r="O211" s="55"/>
      <c r="P211" s="55"/>
      <c r="Q211" s="55"/>
      <c r="R211" s="55"/>
      <c r="S211" s="55"/>
      <c r="T211" s="55"/>
      <c r="U211" s="55"/>
      <c r="V211" s="55"/>
      <c r="W211" s="55"/>
      <c r="X211" s="55"/>
      <c r="Y211" s="55"/>
      <c r="Z211" s="55"/>
      <c r="AA211" s="55"/>
      <c r="AB211" s="55"/>
      <c r="AC211" s="55"/>
      <c r="AD211" s="55"/>
      <c r="AF211" s="106" t="s">
        <v>585</v>
      </c>
      <c r="AG211" s="4" t="s">
        <v>21</v>
      </c>
      <c r="AH211" s="4" t="s">
        <v>592</v>
      </c>
      <c r="AI211" s="107">
        <v>24.6</v>
      </c>
      <c r="AJ211" s="107">
        <v>18.600000000000001</v>
      </c>
      <c r="AK211" s="107">
        <v>30.6</v>
      </c>
      <c r="AL211" s="107">
        <v>2.1</v>
      </c>
      <c r="AM211" s="107">
        <v>7.8</v>
      </c>
      <c r="AN211" s="108">
        <v>8820</v>
      </c>
    </row>
    <row r="212" spans="2:40" x14ac:dyDescent="0.15">
      <c r="B212" s="113"/>
      <c r="C212" s="9"/>
      <c r="D212" s="9"/>
      <c r="E212" s="9"/>
      <c r="F212" s="98"/>
      <c r="G212" s="98"/>
      <c r="H212" s="98"/>
      <c r="I212" s="98"/>
      <c r="J212" s="98"/>
      <c r="K212" s="55"/>
      <c r="L212" s="55"/>
      <c r="M212" s="55"/>
      <c r="N212" s="55"/>
      <c r="O212" s="55"/>
      <c r="P212" s="55"/>
      <c r="Q212" s="55"/>
      <c r="R212" s="55"/>
      <c r="S212" s="55"/>
      <c r="T212" s="55"/>
      <c r="U212" s="55"/>
      <c r="V212" s="55"/>
      <c r="W212" s="55"/>
      <c r="X212" s="55"/>
      <c r="Y212" s="55"/>
      <c r="Z212" s="55"/>
      <c r="AA212" s="55"/>
      <c r="AB212" s="55"/>
      <c r="AC212" s="55"/>
      <c r="AD212" s="55"/>
      <c r="AF212" s="106" t="s">
        <v>30</v>
      </c>
      <c r="AG212" s="4" t="s">
        <v>21</v>
      </c>
      <c r="AH212" s="4" t="s">
        <v>590</v>
      </c>
      <c r="AI212" s="107"/>
      <c r="AJ212" s="107"/>
      <c r="AK212" s="107"/>
      <c r="AL212" s="107"/>
      <c r="AM212" s="107"/>
      <c r="AN212" s="108"/>
    </row>
    <row r="213" spans="2:40" x14ac:dyDescent="0.15">
      <c r="B213" s="113"/>
      <c r="C213" s="9"/>
      <c r="D213" s="9"/>
      <c r="E213" s="9"/>
      <c r="F213" s="98"/>
      <c r="G213" s="98"/>
      <c r="H213" s="98"/>
      <c r="I213" s="98"/>
      <c r="J213" s="98"/>
      <c r="K213" s="55"/>
      <c r="L213" s="55"/>
      <c r="M213" s="55"/>
      <c r="N213" s="55"/>
      <c r="O213" s="55"/>
      <c r="P213" s="55"/>
      <c r="Q213" s="55"/>
      <c r="R213" s="55"/>
      <c r="S213" s="55"/>
      <c r="T213" s="55"/>
      <c r="U213" s="55"/>
      <c r="V213" s="55"/>
      <c r="W213" s="55"/>
      <c r="X213" s="55"/>
      <c r="Y213" s="55"/>
      <c r="Z213" s="55"/>
      <c r="AA213" s="55"/>
      <c r="AB213" s="55"/>
      <c r="AC213" s="55"/>
      <c r="AD213" s="55"/>
      <c r="AF213" s="106" t="s">
        <v>31</v>
      </c>
      <c r="AG213" s="4" t="s">
        <v>21</v>
      </c>
      <c r="AH213" s="4" t="s">
        <v>591</v>
      </c>
      <c r="AI213" s="107">
        <v>18.600000000000001</v>
      </c>
      <c r="AJ213" s="107">
        <v>12.6</v>
      </c>
      <c r="AK213" s="107">
        <v>21</v>
      </c>
      <c r="AL213" s="107">
        <v>2.1</v>
      </c>
      <c r="AM213" s="107">
        <v>6</v>
      </c>
      <c r="AN213" s="108">
        <v>8820</v>
      </c>
    </row>
    <row r="214" spans="2:40" x14ac:dyDescent="0.15">
      <c r="B214" s="113"/>
      <c r="C214" s="9"/>
      <c r="D214" s="9"/>
      <c r="E214" s="9"/>
      <c r="F214" s="98"/>
      <c r="G214" s="98"/>
      <c r="H214" s="98"/>
      <c r="I214" s="98"/>
      <c r="J214" s="98"/>
      <c r="K214" s="55"/>
      <c r="L214" s="55"/>
      <c r="M214" s="55"/>
      <c r="N214" s="55"/>
      <c r="O214" s="55"/>
      <c r="P214" s="55"/>
      <c r="Q214" s="55"/>
      <c r="R214" s="55"/>
      <c r="S214" s="55"/>
      <c r="T214" s="55"/>
      <c r="U214" s="55"/>
      <c r="V214" s="55"/>
      <c r="W214" s="55"/>
      <c r="X214" s="55"/>
      <c r="Y214" s="55"/>
      <c r="Z214" s="55"/>
      <c r="AA214" s="55"/>
      <c r="AB214" s="55"/>
      <c r="AC214" s="55"/>
      <c r="AD214" s="55"/>
      <c r="AF214" s="106" t="s">
        <v>586</v>
      </c>
      <c r="AG214" s="4" t="s">
        <v>21</v>
      </c>
      <c r="AH214" s="4" t="s">
        <v>591</v>
      </c>
      <c r="AI214" s="107"/>
      <c r="AJ214" s="107"/>
      <c r="AK214" s="107"/>
      <c r="AL214" s="107"/>
      <c r="AM214" s="107"/>
      <c r="AN214" s="108"/>
    </row>
    <row r="215" spans="2:40" x14ac:dyDescent="0.15">
      <c r="B215" s="113"/>
      <c r="C215" s="9"/>
      <c r="D215" s="9"/>
      <c r="E215" s="9"/>
      <c r="F215" s="98"/>
      <c r="G215" s="98"/>
      <c r="H215" s="98"/>
      <c r="I215" s="98"/>
      <c r="J215" s="98"/>
      <c r="K215" s="55"/>
      <c r="L215" s="55"/>
      <c r="M215" s="55"/>
      <c r="N215" s="55"/>
      <c r="O215" s="55"/>
      <c r="P215" s="55"/>
      <c r="Q215" s="55"/>
      <c r="R215" s="55"/>
      <c r="S215" s="55"/>
      <c r="T215" s="55"/>
      <c r="U215" s="55"/>
      <c r="V215" s="55"/>
      <c r="W215" s="55"/>
      <c r="X215" s="55"/>
      <c r="Y215" s="55"/>
      <c r="Z215" s="55"/>
      <c r="AA215" s="55"/>
      <c r="AB215" s="55"/>
      <c r="AC215" s="55"/>
      <c r="AD215" s="55"/>
      <c r="AF215" s="106" t="s">
        <v>33</v>
      </c>
      <c r="AG215" s="4" t="s">
        <v>21</v>
      </c>
      <c r="AH215" s="4" t="s">
        <v>592</v>
      </c>
      <c r="AI215" s="107">
        <v>18.600000000000001</v>
      </c>
      <c r="AJ215" s="107">
        <v>12.6</v>
      </c>
      <c r="AK215" s="107">
        <v>21</v>
      </c>
      <c r="AL215" s="107">
        <v>1.8</v>
      </c>
      <c r="AM215" s="107">
        <v>6</v>
      </c>
      <c r="AN215" s="108">
        <v>8820</v>
      </c>
    </row>
    <row r="216" spans="2:40" x14ac:dyDescent="0.15">
      <c r="B216" s="113"/>
      <c r="C216" s="9"/>
      <c r="D216" s="9"/>
      <c r="E216" s="9"/>
      <c r="F216" s="98"/>
      <c r="G216" s="98"/>
      <c r="H216" s="98"/>
      <c r="I216" s="98"/>
      <c r="J216" s="98"/>
      <c r="K216" s="55"/>
      <c r="L216" s="55"/>
      <c r="M216" s="55"/>
      <c r="N216" s="55"/>
      <c r="O216" s="55"/>
      <c r="P216" s="55"/>
      <c r="Q216" s="55"/>
      <c r="R216" s="55"/>
      <c r="S216" s="55"/>
      <c r="T216" s="55"/>
      <c r="U216" s="55"/>
      <c r="V216" s="55"/>
      <c r="W216" s="55"/>
      <c r="X216" s="55"/>
      <c r="Y216" s="55"/>
      <c r="Z216" s="55"/>
      <c r="AA216" s="55"/>
      <c r="AB216" s="55"/>
      <c r="AC216" s="55"/>
      <c r="AD216" s="55"/>
      <c r="AF216" s="106" t="s">
        <v>34</v>
      </c>
      <c r="AG216" s="4" t="s">
        <v>21</v>
      </c>
      <c r="AH216" s="4" t="s">
        <v>590</v>
      </c>
      <c r="AI216" s="107">
        <v>18.600000000000001</v>
      </c>
      <c r="AJ216" s="107">
        <v>12.6</v>
      </c>
      <c r="AK216" s="107">
        <v>21</v>
      </c>
      <c r="AL216" s="107">
        <v>1.8</v>
      </c>
      <c r="AM216" s="107">
        <v>6</v>
      </c>
      <c r="AN216" s="108">
        <v>8820</v>
      </c>
    </row>
    <row r="217" spans="2:40" x14ac:dyDescent="0.15">
      <c r="B217" s="113"/>
      <c r="C217" s="9"/>
      <c r="D217" s="9"/>
      <c r="E217" s="9"/>
      <c r="F217" s="98"/>
      <c r="G217" s="98"/>
      <c r="H217" s="98"/>
      <c r="I217" s="98"/>
      <c r="J217" s="98"/>
      <c r="K217" s="55"/>
      <c r="L217" s="55"/>
      <c r="M217" s="55"/>
      <c r="N217" s="55"/>
      <c r="O217" s="55"/>
      <c r="P217" s="55"/>
      <c r="Q217" s="55"/>
      <c r="R217" s="55"/>
      <c r="S217" s="55"/>
      <c r="T217" s="55"/>
      <c r="U217" s="55"/>
      <c r="V217" s="55"/>
      <c r="W217" s="55"/>
      <c r="X217" s="55"/>
      <c r="Y217" s="55"/>
      <c r="Z217" s="55"/>
      <c r="AA217" s="55"/>
      <c r="AB217" s="55"/>
      <c r="AC217" s="55"/>
      <c r="AD217" s="55"/>
      <c r="AF217" s="106"/>
      <c r="AG217" s="4"/>
      <c r="AH217" s="4"/>
      <c r="AI217" s="107"/>
      <c r="AJ217" s="107"/>
      <c r="AK217" s="107"/>
      <c r="AL217" s="107"/>
      <c r="AM217" s="107"/>
      <c r="AN217" s="108"/>
    </row>
    <row r="218" spans="2:40" x14ac:dyDescent="0.15">
      <c r="B218" s="113"/>
      <c r="C218" s="9"/>
      <c r="D218" s="9"/>
      <c r="E218" s="9"/>
      <c r="F218" s="98"/>
      <c r="G218" s="98"/>
      <c r="H218" s="98"/>
      <c r="I218" s="98"/>
      <c r="J218" s="98"/>
      <c r="K218" s="55"/>
      <c r="L218" s="55"/>
      <c r="M218" s="55"/>
      <c r="N218" s="55"/>
      <c r="O218" s="55"/>
      <c r="P218" s="55"/>
      <c r="Q218" s="55"/>
      <c r="R218" s="55"/>
      <c r="S218" s="55"/>
      <c r="T218" s="55"/>
      <c r="U218" s="55"/>
      <c r="V218" s="55"/>
      <c r="W218" s="55"/>
      <c r="X218" s="55"/>
      <c r="Y218" s="55"/>
      <c r="Z218" s="55"/>
      <c r="AA218" s="55"/>
      <c r="AB218" s="55"/>
      <c r="AC218" s="55"/>
      <c r="AD218" s="55"/>
      <c r="AF218" s="106"/>
      <c r="AG218" s="4"/>
      <c r="AH218" s="4"/>
      <c r="AI218" s="107"/>
      <c r="AJ218" s="107"/>
      <c r="AK218" s="107"/>
      <c r="AL218" s="107"/>
      <c r="AM218" s="107"/>
      <c r="AN218" s="108"/>
    </row>
    <row r="219" spans="2:40" x14ac:dyDescent="0.15">
      <c r="B219" s="113"/>
      <c r="C219" s="9"/>
      <c r="D219" s="9"/>
      <c r="E219" s="9"/>
      <c r="F219" s="98"/>
      <c r="G219" s="98"/>
      <c r="H219" s="98"/>
      <c r="I219" s="98"/>
      <c r="J219" s="98"/>
      <c r="K219" s="55"/>
      <c r="L219" s="55"/>
      <c r="M219" s="55"/>
      <c r="N219" s="55"/>
      <c r="O219" s="55"/>
      <c r="P219" s="55"/>
      <c r="Q219" s="55"/>
      <c r="R219" s="55"/>
      <c r="S219" s="55"/>
      <c r="T219" s="55"/>
      <c r="U219" s="55"/>
      <c r="V219" s="55"/>
      <c r="W219" s="55"/>
      <c r="X219" s="55"/>
      <c r="Y219" s="55"/>
      <c r="Z219" s="55"/>
      <c r="AA219" s="55"/>
      <c r="AB219" s="55"/>
      <c r="AC219" s="55"/>
      <c r="AD219" s="55"/>
      <c r="AF219" s="106"/>
      <c r="AG219" s="4"/>
      <c r="AH219" s="4"/>
      <c r="AI219" s="107"/>
      <c r="AJ219" s="107"/>
      <c r="AK219" s="107"/>
      <c r="AL219" s="107"/>
      <c r="AM219" s="107"/>
      <c r="AN219" s="108"/>
    </row>
    <row r="220" spans="2:40" x14ac:dyDescent="0.15">
      <c r="B220" s="113"/>
      <c r="C220" s="9"/>
      <c r="D220" s="9"/>
      <c r="E220" s="9"/>
      <c r="F220" s="98"/>
      <c r="G220" s="98"/>
      <c r="H220" s="98"/>
      <c r="I220" s="98"/>
      <c r="J220" s="98"/>
      <c r="K220" s="55"/>
      <c r="L220" s="55"/>
      <c r="M220" s="55"/>
      <c r="N220" s="55"/>
      <c r="O220" s="55"/>
      <c r="P220" s="55"/>
      <c r="Q220" s="55"/>
      <c r="R220" s="55"/>
      <c r="S220" s="55"/>
      <c r="T220" s="55"/>
      <c r="U220" s="55"/>
      <c r="V220" s="55"/>
      <c r="W220" s="55"/>
      <c r="X220" s="55"/>
      <c r="Y220" s="55"/>
      <c r="Z220" s="55"/>
      <c r="AA220" s="55"/>
      <c r="AB220" s="55"/>
      <c r="AC220" s="55"/>
      <c r="AD220" s="55"/>
      <c r="AF220" s="106"/>
      <c r="AG220" s="4"/>
      <c r="AH220" s="4"/>
      <c r="AI220" s="107"/>
      <c r="AJ220" s="107"/>
      <c r="AK220" s="107"/>
      <c r="AL220" s="107"/>
      <c r="AM220" s="107"/>
      <c r="AN220" s="108"/>
    </row>
    <row r="221" spans="2:40" ht="15" thickBot="1" x14ac:dyDescent="0.2">
      <c r="B221" s="113"/>
      <c r="C221" s="9"/>
      <c r="D221" s="9"/>
      <c r="E221" s="9"/>
      <c r="F221" s="98"/>
      <c r="G221" s="98"/>
      <c r="H221" s="98"/>
      <c r="I221" s="98"/>
      <c r="J221" s="98"/>
      <c r="K221" s="55"/>
      <c r="L221" s="55"/>
      <c r="M221" s="55"/>
      <c r="N221" s="55"/>
      <c r="O221" s="55"/>
      <c r="P221" s="55"/>
      <c r="Q221" s="55"/>
      <c r="R221" s="55"/>
      <c r="S221" s="55"/>
      <c r="T221" s="55"/>
      <c r="U221" s="55"/>
      <c r="V221" s="55"/>
      <c r="W221" s="55"/>
      <c r="X221" s="55"/>
      <c r="Y221" s="55"/>
      <c r="Z221" s="55"/>
      <c r="AA221" s="55"/>
      <c r="AB221" s="55"/>
      <c r="AC221" s="55"/>
      <c r="AD221" s="55"/>
      <c r="AF221" s="109"/>
      <c r="AG221" s="110"/>
      <c r="AH221" s="110"/>
      <c r="AI221" s="111"/>
      <c r="AJ221" s="111"/>
      <c r="AK221" s="111"/>
      <c r="AL221" s="111"/>
      <c r="AM221" s="111"/>
      <c r="AN221" s="112"/>
    </row>
    <row r="222" spans="2:40" x14ac:dyDescent="0.15">
      <c r="B222" s="113"/>
      <c r="C222" s="9"/>
      <c r="D222" s="9"/>
      <c r="E222" s="9"/>
      <c r="F222" s="98"/>
      <c r="G222" s="98"/>
      <c r="H222" s="98"/>
      <c r="I222" s="98"/>
      <c r="J222" s="98"/>
      <c r="K222" s="55"/>
      <c r="L222" s="55"/>
      <c r="M222" s="55"/>
      <c r="N222" s="55"/>
      <c r="O222" s="55"/>
      <c r="P222" s="55"/>
      <c r="Q222" s="55"/>
      <c r="R222" s="55"/>
      <c r="S222" s="55"/>
      <c r="T222" s="55"/>
      <c r="U222" s="55"/>
      <c r="V222" s="55"/>
      <c r="W222" s="55"/>
      <c r="X222" s="55"/>
      <c r="Y222" s="55"/>
      <c r="Z222" s="55"/>
      <c r="AA222" s="55"/>
      <c r="AB222" s="55"/>
      <c r="AC222" s="55"/>
      <c r="AD222" s="55"/>
    </row>
    <row r="223" spans="2:40" ht="15" thickBot="1" x14ac:dyDescent="0.2">
      <c r="B223" s="113"/>
      <c r="C223" s="9"/>
      <c r="D223" s="9"/>
      <c r="E223" s="9"/>
      <c r="F223" s="98"/>
      <c r="G223" s="98"/>
      <c r="H223" s="98"/>
      <c r="I223" s="98"/>
      <c r="J223" s="98"/>
      <c r="K223" s="55"/>
      <c r="L223" s="55"/>
      <c r="M223" s="55"/>
      <c r="N223" s="55"/>
      <c r="O223" s="55"/>
      <c r="P223" s="55"/>
      <c r="Q223" s="55"/>
      <c r="R223" s="55"/>
      <c r="S223" s="55"/>
      <c r="T223" s="55"/>
      <c r="U223" s="55"/>
      <c r="V223" s="55"/>
      <c r="W223" s="55"/>
      <c r="X223" s="55"/>
      <c r="Y223" s="55"/>
      <c r="Z223" s="55"/>
      <c r="AA223" s="55"/>
      <c r="AB223" s="55"/>
      <c r="AC223" s="55"/>
      <c r="AD223" s="55"/>
      <c r="AF223" s="99" t="s">
        <v>538</v>
      </c>
      <c r="AG223" s="23"/>
      <c r="AH223" s="9" t="s">
        <v>593</v>
      </c>
      <c r="AI223" s="9"/>
      <c r="AJ223" s="23"/>
      <c r="AK223" s="23"/>
      <c r="AL223" s="23"/>
      <c r="AM223" s="23"/>
      <c r="AN223" s="23"/>
    </row>
    <row r="224" spans="2:40" x14ac:dyDescent="0.15">
      <c r="B224" s="113"/>
      <c r="C224" s="9"/>
      <c r="D224" s="9"/>
      <c r="E224" s="9"/>
      <c r="F224" s="98"/>
      <c r="G224" s="98"/>
      <c r="H224" s="98"/>
      <c r="I224" s="98"/>
      <c r="J224" s="98"/>
      <c r="K224" s="55"/>
      <c r="L224" s="55"/>
      <c r="M224" s="55"/>
      <c r="N224" s="55"/>
      <c r="O224" s="55"/>
      <c r="P224" s="55"/>
      <c r="Q224" s="55"/>
      <c r="R224" s="55"/>
      <c r="S224" s="55"/>
      <c r="T224" s="55"/>
      <c r="U224" s="55"/>
      <c r="V224" s="55"/>
      <c r="W224" s="55"/>
      <c r="X224" s="55"/>
      <c r="Y224" s="55"/>
      <c r="Z224" s="55"/>
      <c r="AA224" s="55"/>
      <c r="AB224" s="55"/>
      <c r="AC224" s="55"/>
      <c r="AD224" s="55"/>
      <c r="AF224" s="1442" t="s">
        <v>15</v>
      </c>
      <c r="AG224" s="1448" t="s">
        <v>16</v>
      </c>
      <c r="AH224" s="1451" t="s">
        <v>17</v>
      </c>
      <c r="AI224" s="1438" t="s">
        <v>19</v>
      </c>
      <c r="AJ224" s="1454"/>
      <c r="AK224" s="1454"/>
      <c r="AL224" s="1454"/>
      <c r="AM224" s="1454"/>
      <c r="AN224" s="1455"/>
    </row>
    <row r="225" spans="2:40" x14ac:dyDescent="0.15">
      <c r="B225" s="113"/>
      <c r="C225" s="9"/>
      <c r="D225" s="9"/>
      <c r="E225" s="9"/>
      <c r="F225" s="98"/>
      <c r="G225" s="98"/>
      <c r="H225" s="98"/>
      <c r="I225" s="98"/>
      <c r="J225" s="98"/>
      <c r="K225" s="55"/>
      <c r="L225" s="55"/>
      <c r="M225" s="55"/>
      <c r="N225" s="55"/>
      <c r="O225" s="55"/>
      <c r="P225" s="55"/>
      <c r="Q225" s="55"/>
      <c r="R225" s="55"/>
      <c r="S225" s="55"/>
      <c r="T225" s="55"/>
      <c r="U225" s="55"/>
      <c r="V225" s="55"/>
      <c r="W225" s="55"/>
      <c r="X225" s="55"/>
      <c r="Y225" s="55"/>
      <c r="Z225" s="55"/>
      <c r="AA225" s="55"/>
      <c r="AB225" s="55"/>
      <c r="AC225" s="55"/>
      <c r="AD225" s="55"/>
      <c r="AF225" s="1443"/>
      <c r="AG225" s="1449"/>
      <c r="AH225" s="1452"/>
      <c r="AI225" s="733" t="s">
        <v>575</v>
      </c>
      <c r="AJ225" s="733" t="s">
        <v>576</v>
      </c>
      <c r="AK225" s="733" t="s">
        <v>577</v>
      </c>
      <c r="AL225" s="733" t="s">
        <v>578</v>
      </c>
      <c r="AM225" s="733" t="s">
        <v>579</v>
      </c>
      <c r="AN225" s="100" t="s">
        <v>580</v>
      </c>
    </row>
    <row r="226" spans="2:40" ht="15" thickBot="1" x14ac:dyDescent="0.2">
      <c r="B226" s="113"/>
      <c r="C226" s="9"/>
      <c r="D226" s="9"/>
      <c r="E226" s="9"/>
      <c r="F226" s="98"/>
      <c r="G226" s="98"/>
      <c r="H226" s="98"/>
      <c r="I226" s="98"/>
      <c r="J226" s="98"/>
      <c r="K226" s="55"/>
      <c r="L226" s="55"/>
      <c r="M226" s="55"/>
      <c r="N226" s="55"/>
      <c r="O226" s="55"/>
      <c r="P226" s="55"/>
      <c r="Q226" s="55"/>
      <c r="R226" s="55"/>
      <c r="S226" s="55"/>
      <c r="T226" s="55"/>
      <c r="U226" s="55"/>
      <c r="V226" s="55"/>
      <c r="W226" s="55"/>
      <c r="X226" s="55"/>
      <c r="Y226" s="55"/>
      <c r="Z226" s="55"/>
      <c r="AA226" s="55"/>
      <c r="AB226" s="55"/>
      <c r="AC226" s="55"/>
      <c r="AD226" s="55"/>
      <c r="AF226" s="101"/>
      <c r="AG226" s="1450"/>
      <c r="AH226" s="1453"/>
      <c r="AI226" s="734" t="s">
        <v>1</v>
      </c>
      <c r="AJ226" s="734" t="s">
        <v>3</v>
      </c>
      <c r="AK226" s="734" t="s">
        <v>2</v>
      </c>
      <c r="AL226" s="734" t="s">
        <v>4</v>
      </c>
      <c r="AM226" s="734" t="s">
        <v>244</v>
      </c>
      <c r="AN226" s="102" t="s">
        <v>20</v>
      </c>
    </row>
    <row r="227" spans="2:40" x14ac:dyDescent="0.15">
      <c r="B227" s="113"/>
      <c r="C227" s="9"/>
      <c r="D227" s="9"/>
      <c r="E227" s="9"/>
      <c r="F227" s="98"/>
      <c r="G227" s="98"/>
      <c r="H227" s="98"/>
      <c r="I227" s="98"/>
      <c r="J227" s="98"/>
      <c r="K227" s="55"/>
      <c r="L227" s="55"/>
      <c r="M227" s="55"/>
      <c r="N227" s="55"/>
      <c r="O227" s="55"/>
      <c r="P227" s="55"/>
      <c r="Q227" s="55"/>
      <c r="R227" s="55"/>
      <c r="S227" s="55"/>
      <c r="T227" s="55"/>
      <c r="U227" s="55"/>
      <c r="V227" s="55"/>
      <c r="W227" s="55"/>
      <c r="X227" s="55"/>
      <c r="Y227" s="55"/>
      <c r="Z227" s="55"/>
      <c r="AA227" s="55"/>
      <c r="AB227" s="55"/>
      <c r="AC227" s="55"/>
      <c r="AD227" s="55"/>
      <c r="AF227" s="103" t="s">
        <v>23</v>
      </c>
      <c r="AG227" s="117" t="s">
        <v>21</v>
      </c>
      <c r="AH227" s="114" t="s">
        <v>593</v>
      </c>
      <c r="AI227" s="104">
        <v>32.4</v>
      </c>
      <c r="AJ227" s="104">
        <v>24.6</v>
      </c>
      <c r="AK227" s="104">
        <v>40.799999999999997</v>
      </c>
      <c r="AL227" s="104">
        <v>1.8</v>
      </c>
      <c r="AM227" s="104">
        <v>6</v>
      </c>
      <c r="AN227" s="108">
        <v>10780</v>
      </c>
    </row>
    <row r="228" spans="2:40" x14ac:dyDescent="0.15">
      <c r="B228" s="113"/>
      <c r="C228" s="9"/>
      <c r="D228" s="9"/>
      <c r="E228" s="9"/>
      <c r="F228" s="98"/>
      <c r="G228" s="98"/>
      <c r="H228" s="98"/>
      <c r="I228" s="98"/>
      <c r="J228" s="98"/>
      <c r="K228" s="55"/>
      <c r="L228" s="55"/>
      <c r="M228" s="55"/>
      <c r="N228" s="55"/>
      <c r="O228" s="55"/>
      <c r="P228" s="55"/>
      <c r="Q228" s="55"/>
      <c r="R228" s="55"/>
      <c r="S228" s="55"/>
      <c r="T228" s="55"/>
      <c r="U228" s="55"/>
      <c r="V228" s="55"/>
      <c r="W228" s="55"/>
      <c r="X228" s="55"/>
      <c r="Y228" s="55"/>
      <c r="Z228" s="55"/>
      <c r="AA228" s="55"/>
      <c r="AB228" s="55"/>
      <c r="AC228" s="55"/>
      <c r="AD228" s="55"/>
      <c r="AF228" s="106" t="s">
        <v>24</v>
      </c>
      <c r="AG228" s="4" t="s">
        <v>21</v>
      </c>
      <c r="AH228" s="4" t="s">
        <v>593</v>
      </c>
      <c r="AI228" s="107">
        <v>31.2</v>
      </c>
      <c r="AJ228" s="107">
        <v>23.4</v>
      </c>
      <c r="AK228" s="107">
        <v>38.4</v>
      </c>
      <c r="AL228" s="107">
        <v>2.1</v>
      </c>
      <c r="AM228" s="107">
        <v>7.8</v>
      </c>
      <c r="AN228" s="108">
        <v>10780</v>
      </c>
    </row>
    <row r="229" spans="2:40" x14ac:dyDescent="0.15">
      <c r="B229" s="113"/>
      <c r="C229" s="9"/>
      <c r="D229" s="9"/>
      <c r="E229" s="9"/>
      <c r="F229" s="98"/>
      <c r="G229" s="98"/>
      <c r="H229" s="98"/>
      <c r="I229" s="98"/>
      <c r="J229" s="98"/>
      <c r="K229" s="55"/>
      <c r="L229" s="55"/>
      <c r="M229" s="55"/>
      <c r="N229" s="55"/>
      <c r="O229" s="55"/>
      <c r="P229" s="55"/>
      <c r="Q229" s="55"/>
      <c r="R229" s="55"/>
      <c r="S229" s="55"/>
      <c r="T229" s="55"/>
      <c r="U229" s="55"/>
      <c r="V229" s="55"/>
      <c r="W229" s="55"/>
      <c r="X229" s="55"/>
      <c r="Y229" s="55"/>
      <c r="Z229" s="55"/>
      <c r="AA229" s="55"/>
      <c r="AB229" s="55"/>
      <c r="AC229" s="55"/>
      <c r="AD229" s="55"/>
      <c r="AF229" s="106" t="s">
        <v>25</v>
      </c>
      <c r="AG229" s="4" t="s">
        <v>21</v>
      </c>
      <c r="AH229" s="4" t="s">
        <v>594</v>
      </c>
      <c r="AI229" s="107">
        <v>24.6</v>
      </c>
      <c r="AJ229" s="107">
        <v>18.600000000000001</v>
      </c>
      <c r="AK229" s="107">
        <v>30.6</v>
      </c>
      <c r="AL229" s="107">
        <v>2.4</v>
      </c>
      <c r="AM229" s="107">
        <v>9</v>
      </c>
      <c r="AN229" s="108">
        <v>10780</v>
      </c>
    </row>
    <row r="230" spans="2:40" x14ac:dyDescent="0.15">
      <c r="B230" s="113"/>
      <c r="C230" s="9"/>
      <c r="D230" s="9"/>
      <c r="E230" s="9"/>
      <c r="F230" s="98"/>
      <c r="G230" s="98"/>
      <c r="H230" s="98"/>
      <c r="I230" s="98"/>
      <c r="J230" s="98"/>
      <c r="K230" s="55"/>
      <c r="L230" s="55"/>
      <c r="M230" s="55"/>
      <c r="N230" s="55"/>
      <c r="O230" s="55"/>
      <c r="P230" s="55"/>
      <c r="Q230" s="55"/>
      <c r="R230" s="55"/>
      <c r="S230" s="55"/>
      <c r="T230" s="55"/>
      <c r="U230" s="55"/>
      <c r="V230" s="55"/>
      <c r="W230" s="55"/>
      <c r="X230" s="55"/>
      <c r="Y230" s="55"/>
      <c r="Z230" s="55"/>
      <c r="AA230" s="55"/>
      <c r="AB230" s="55"/>
      <c r="AC230" s="55"/>
      <c r="AD230" s="55"/>
      <c r="AF230" s="106" t="s">
        <v>26</v>
      </c>
      <c r="AG230" s="4" t="s">
        <v>21</v>
      </c>
      <c r="AH230" s="4" t="s">
        <v>595</v>
      </c>
      <c r="AI230" s="107">
        <v>24.6</v>
      </c>
      <c r="AJ230" s="107">
        <v>18.600000000000001</v>
      </c>
      <c r="AK230" s="107">
        <v>30.6</v>
      </c>
      <c r="AL230" s="107">
        <v>2.4</v>
      </c>
      <c r="AM230" s="107">
        <v>9</v>
      </c>
      <c r="AN230" s="108">
        <v>10780</v>
      </c>
    </row>
    <row r="231" spans="2:40" x14ac:dyDescent="0.15">
      <c r="B231" s="113"/>
      <c r="C231" s="9"/>
      <c r="D231" s="9"/>
      <c r="E231" s="9"/>
      <c r="F231" s="98"/>
      <c r="G231" s="98"/>
      <c r="H231" s="98"/>
      <c r="I231" s="98"/>
      <c r="J231" s="98"/>
      <c r="K231" s="55"/>
      <c r="L231" s="55"/>
      <c r="M231" s="55"/>
      <c r="N231" s="55"/>
      <c r="O231" s="55"/>
      <c r="P231" s="55"/>
      <c r="Q231" s="55"/>
      <c r="R231" s="55"/>
      <c r="S231" s="55"/>
      <c r="T231" s="55"/>
      <c r="U231" s="55"/>
      <c r="V231" s="55"/>
      <c r="W231" s="55"/>
      <c r="X231" s="55"/>
      <c r="Y231" s="55"/>
      <c r="Z231" s="55"/>
      <c r="AA231" s="55"/>
      <c r="AB231" s="55"/>
      <c r="AC231" s="55"/>
      <c r="AD231" s="55"/>
      <c r="AF231" s="106" t="s">
        <v>27</v>
      </c>
      <c r="AG231" s="4" t="s">
        <v>21</v>
      </c>
      <c r="AH231" s="4" t="s">
        <v>594</v>
      </c>
      <c r="AI231" s="107"/>
      <c r="AJ231" s="107"/>
      <c r="AK231" s="107"/>
      <c r="AL231" s="107"/>
      <c r="AM231" s="107"/>
      <c r="AN231" s="108"/>
    </row>
    <row r="232" spans="2:40" x14ac:dyDescent="0.15">
      <c r="B232" s="113"/>
      <c r="C232" s="9"/>
      <c r="D232" s="9"/>
      <c r="E232" s="9"/>
      <c r="F232" s="98"/>
      <c r="G232" s="98"/>
      <c r="H232" s="98"/>
      <c r="I232" s="98"/>
      <c r="J232" s="98"/>
      <c r="K232" s="55"/>
      <c r="L232" s="55"/>
      <c r="M232" s="55"/>
      <c r="N232" s="55"/>
      <c r="O232" s="55"/>
      <c r="P232" s="55"/>
      <c r="Q232" s="55"/>
      <c r="R232" s="55"/>
      <c r="S232" s="55"/>
      <c r="T232" s="55"/>
      <c r="U232" s="55"/>
      <c r="V232" s="55"/>
      <c r="W232" s="55"/>
      <c r="X232" s="55"/>
      <c r="Y232" s="55"/>
      <c r="Z232" s="55"/>
      <c r="AA232" s="55"/>
      <c r="AB232" s="55"/>
      <c r="AC232" s="55"/>
      <c r="AD232" s="55"/>
      <c r="AF232" s="106" t="s">
        <v>28</v>
      </c>
      <c r="AG232" s="4" t="s">
        <v>21</v>
      </c>
      <c r="AH232" s="4" t="s">
        <v>595</v>
      </c>
      <c r="AI232" s="107">
        <v>31.2</v>
      </c>
      <c r="AJ232" s="107">
        <v>23.4</v>
      </c>
      <c r="AK232" s="107">
        <v>38.4</v>
      </c>
      <c r="AL232" s="107">
        <v>2.1</v>
      </c>
      <c r="AM232" s="107">
        <v>7.8</v>
      </c>
      <c r="AN232" s="108">
        <v>10780</v>
      </c>
    </row>
    <row r="233" spans="2:40" x14ac:dyDescent="0.15">
      <c r="B233" s="113"/>
      <c r="C233" s="9"/>
      <c r="D233" s="9"/>
      <c r="E233" s="9"/>
      <c r="F233" s="98"/>
      <c r="G233" s="98"/>
      <c r="H233" s="98"/>
      <c r="I233" s="98"/>
      <c r="J233" s="98"/>
      <c r="K233" s="55"/>
      <c r="L233" s="55"/>
      <c r="M233" s="55"/>
      <c r="N233" s="55"/>
      <c r="O233" s="55"/>
      <c r="P233" s="55"/>
      <c r="Q233" s="55"/>
      <c r="R233" s="55"/>
      <c r="S233" s="55"/>
      <c r="T233" s="55"/>
      <c r="U233" s="55"/>
      <c r="V233" s="55"/>
      <c r="W233" s="55"/>
      <c r="X233" s="55"/>
      <c r="Y233" s="55"/>
      <c r="Z233" s="55"/>
      <c r="AA233" s="55"/>
      <c r="AB233" s="55"/>
      <c r="AC233" s="55"/>
      <c r="AD233" s="55"/>
      <c r="AF233" s="106" t="s">
        <v>585</v>
      </c>
      <c r="AG233" s="4" t="s">
        <v>21</v>
      </c>
      <c r="AH233" s="4" t="s">
        <v>595</v>
      </c>
      <c r="AI233" s="107">
        <v>31.2</v>
      </c>
      <c r="AJ233" s="107">
        <v>23.4</v>
      </c>
      <c r="AK233" s="107">
        <v>38.4</v>
      </c>
      <c r="AL233" s="107">
        <v>2.1</v>
      </c>
      <c r="AM233" s="107">
        <v>7.8</v>
      </c>
      <c r="AN233" s="108">
        <v>10780</v>
      </c>
    </row>
    <row r="234" spans="2:40" x14ac:dyDescent="0.15">
      <c r="B234" s="113"/>
      <c r="C234" s="9"/>
      <c r="D234" s="9"/>
      <c r="E234" s="9"/>
      <c r="F234" s="98"/>
      <c r="G234" s="98"/>
      <c r="H234" s="98"/>
      <c r="I234" s="98"/>
      <c r="J234" s="98"/>
      <c r="K234" s="55"/>
      <c r="L234" s="55"/>
      <c r="M234" s="55"/>
      <c r="N234" s="55"/>
      <c r="O234" s="55"/>
      <c r="P234" s="55"/>
      <c r="Q234" s="55"/>
      <c r="R234" s="55"/>
      <c r="S234" s="55"/>
      <c r="T234" s="55"/>
      <c r="U234" s="55"/>
      <c r="V234" s="55"/>
      <c r="W234" s="55"/>
      <c r="X234" s="55"/>
      <c r="Y234" s="55"/>
      <c r="Z234" s="55"/>
      <c r="AA234" s="55"/>
      <c r="AB234" s="55"/>
      <c r="AC234" s="55"/>
      <c r="AD234" s="55"/>
      <c r="AF234" s="106" t="s">
        <v>30</v>
      </c>
      <c r="AG234" s="4" t="s">
        <v>21</v>
      </c>
      <c r="AH234" s="4" t="s">
        <v>593</v>
      </c>
      <c r="AI234" s="107"/>
      <c r="AJ234" s="107"/>
      <c r="AK234" s="107"/>
      <c r="AL234" s="107"/>
      <c r="AM234" s="107"/>
      <c r="AN234" s="108"/>
    </row>
    <row r="235" spans="2:40" x14ac:dyDescent="0.15">
      <c r="B235" s="113"/>
      <c r="C235" s="9"/>
      <c r="D235" s="9"/>
      <c r="E235" s="9"/>
      <c r="F235" s="98"/>
      <c r="G235" s="98"/>
      <c r="H235" s="98"/>
      <c r="I235" s="98"/>
      <c r="J235" s="98"/>
      <c r="K235" s="55"/>
      <c r="L235" s="55"/>
      <c r="M235" s="55"/>
      <c r="N235" s="55"/>
      <c r="O235" s="55"/>
      <c r="P235" s="55"/>
      <c r="Q235" s="55"/>
      <c r="R235" s="55"/>
      <c r="S235" s="55"/>
      <c r="T235" s="55"/>
      <c r="U235" s="55"/>
      <c r="V235" s="55"/>
      <c r="W235" s="55"/>
      <c r="X235" s="55"/>
      <c r="Y235" s="55"/>
      <c r="Z235" s="55"/>
      <c r="AA235" s="55"/>
      <c r="AB235" s="55"/>
      <c r="AC235" s="55"/>
      <c r="AD235" s="55"/>
      <c r="AF235" s="106" t="s">
        <v>31</v>
      </c>
      <c r="AG235" s="4" t="s">
        <v>21</v>
      </c>
      <c r="AH235" s="4" t="s">
        <v>594</v>
      </c>
      <c r="AI235" s="107">
        <v>24.6</v>
      </c>
      <c r="AJ235" s="107">
        <v>18.600000000000001</v>
      </c>
      <c r="AK235" s="107">
        <v>30.6</v>
      </c>
      <c r="AL235" s="107">
        <v>2.1</v>
      </c>
      <c r="AM235" s="107">
        <v>6</v>
      </c>
      <c r="AN235" s="108">
        <v>10780</v>
      </c>
    </row>
    <row r="236" spans="2:40" x14ac:dyDescent="0.15">
      <c r="B236" s="113"/>
      <c r="C236" s="9"/>
      <c r="D236" s="9"/>
      <c r="E236" s="9"/>
      <c r="F236" s="98"/>
      <c r="G236" s="98"/>
      <c r="H236" s="98"/>
      <c r="I236" s="98"/>
      <c r="J236" s="98"/>
      <c r="K236" s="55"/>
      <c r="L236" s="55"/>
      <c r="M236" s="55"/>
      <c r="N236" s="55"/>
      <c r="O236" s="55"/>
      <c r="P236" s="55"/>
      <c r="Q236" s="55"/>
      <c r="R236" s="55"/>
      <c r="S236" s="55"/>
      <c r="T236" s="55"/>
      <c r="U236" s="55"/>
      <c r="V236" s="55"/>
      <c r="W236" s="55"/>
      <c r="X236" s="55"/>
      <c r="Y236" s="55"/>
      <c r="Z236" s="55"/>
      <c r="AA236" s="55"/>
      <c r="AB236" s="55"/>
      <c r="AC236" s="55"/>
      <c r="AD236" s="55"/>
      <c r="AF236" s="106" t="s">
        <v>586</v>
      </c>
      <c r="AG236" s="4" t="s">
        <v>21</v>
      </c>
      <c r="AH236" s="4" t="s">
        <v>594</v>
      </c>
      <c r="AI236" s="107"/>
      <c r="AJ236" s="107"/>
      <c r="AK236" s="107"/>
      <c r="AL236" s="107"/>
      <c r="AM236" s="107"/>
      <c r="AN236" s="108"/>
    </row>
    <row r="237" spans="2:40" x14ac:dyDescent="0.15">
      <c r="B237" s="113"/>
      <c r="C237" s="9"/>
      <c r="D237" s="9"/>
      <c r="E237" s="9"/>
      <c r="F237" s="98"/>
      <c r="G237" s="98"/>
      <c r="H237" s="98"/>
      <c r="I237" s="98"/>
      <c r="J237" s="98"/>
      <c r="K237" s="55"/>
      <c r="L237" s="55"/>
      <c r="M237" s="55"/>
      <c r="N237" s="55"/>
      <c r="O237" s="55"/>
      <c r="P237" s="55"/>
      <c r="Q237" s="55"/>
      <c r="R237" s="55"/>
      <c r="S237" s="55"/>
      <c r="T237" s="55"/>
      <c r="U237" s="55"/>
      <c r="V237" s="55"/>
      <c r="W237" s="55"/>
      <c r="X237" s="55"/>
      <c r="Y237" s="55"/>
      <c r="Z237" s="55"/>
      <c r="AA237" s="55"/>
      <c r="AB237" s="55"/>
      <c r="AC237" s="55"/>
      <c r="AD237" s="55"/>
      <c r="AF237" s="106" t="s">
        <v>33</v>
      </c>
      <c r="AG237" s="4" t="s">
        <v>21</v>
      </c>
      <c r="AH237" s="4" t="s">
        <v>595</v>
      </c>
      <c r="AI237" s="107">
        <v>24.6</v>
      </c>
      <c r="AJ237" s="107">
        <v>18.600000000000001</v>
      </c>
      <c r="AK237" s="107">
        <v>30.6</v>
      </c>
      <c r="AL237" s="107">
        <v>1.8</v>
      </c>
      <c r="AM237" s="107">
        <v>6</v>
      </c>
      <c r="AN237" s="108">
        <v>10780</v>
      </c>
    </row>
    <row r="238" spans="2:40" x14ac:dyDescent="0.15">
      <c r="B238" s="113"/>
      <c r="C238" s="9"/>
      <c r="D238" s="9"/>
      <c r="E238" s="9"/>
      <c r="F238" s="98"/>
      <c r="G238" s="98"/>
      <c r="H238" s="98"/>
      <c r="I238" s="98"/>
      <c r="J238" s="98"/>
      <c r="K238" s="55"/>
      <c r="L238" s="55"/>
      <c r="M238" s="55"/>
      <c r="N238" s="55"/>
      <c r="O238" s="55"/>
      <c r="P238" s="55"/>
      <c r="Q238" s="55"/>
      <c r="R238" s="55"/>
      <c r="S238" s="55"/>
      <c r="T238" s="55"/>
      <c r="U238" s="55"/>
      <c r="V238" s="55"/>
      <c r="W238" s="55"/>
      <c r="X238" s="55"/>
      <c r="Y238" s="55"/>
      <c r="Z238" s="55"/>
      <c r="AA238" s="55"/>
      <c r="AB238" s="55"/>
      <c r="AC238" s="55"/>
      <c r="AD238" s="55"/>
      <c r="AF238" s="106" t="s">
        <v>34</v>
      </c>
      <c r="AG238" s="4" t="s">
        <v>21</v>
      </c>
      <c r="AH238" s="4" t="s">
        <v>593</v>
      </c>
      <c r="AI238" s="107">
        <v>24.6</v>
      </c>
      <c r="AJ238" s="107">
        <v>18.600000000000001</v>
      </c>
      <c r="AK238" s="107">
        <v>30.6</v>
      </c>
      <c r="AL238" s="107">
        <v>1.8</v>
      </c>
      <c r="AM238" s="107">
        <v>6</v>
      </c>
      <c r="AN238" s="108">
        <v>10780</v>
      </c>
    </row>
    <row r="239" spans="2:40" x14ac:dyDescent="0.15">
      <c r="B239" s="113"/>
      <c r="C239" s="9"/>
      <c r="D239" s="9"/>
      <c r="E239" s="9"/>
      <c r="F239" s="98"/>
      <c r="G239" s="98"/>
      <c r="H239" s="98"/>
      <c r="I239" s="98"/>
      <c r="J239" s="98"/>
      <c r="K239" s="55"/>
      <c r="L239" s="55"/>
      <c r="M239" s="55"/>
      <c r="N239" s="55"/>
      <c r="O239" s="55"/>
      <c r="P239" s="55"/>
      <c r="Q239" s="55"/>
      <c r="R239" s="55"/>
      <c r="S239" s="55"/>
      <c r="T239" s="55"/>
      <c r="U239" s="55"/>
      <c r="V239" s="55"/>
      <c r="W239" s="55"/>
      <c r="X239" s="55"/>
      <c r="Y239" s="55"/>
      <c r="Z239" s="55"/>
      <c r="AA239" s="55"/>
      <c r="AB239" s="55"/>
      <c r="AC239" s="55"/>
      <c r="AD239" s="55"/>
      <c r="AF239" s="106"/>
      <c r="AG239" s="4"/>
      <c r="AH239" s="4"/>
      <c r="AI239" s="107"/>
      <c r="AJ239" s="107"/>
      <c r="AK239" s="107"/>
      <c r="AL239" s="107"/>
      <c r="AM239" s="107"/>
      <c r="AN239" s="108"/>
    </row>
    <row r="240" spans="2:40" x14ac:dyDescent="0.15">
      <c r="B240" s="113"/>
      <c r="C240" s="9"/>
      <c r="D240" s="9"/>
      <c r="E240" s="9"/>
      <c r="F240" s="98"/>
      <c r="G240" s="98"/>
      <c r="H240" s="98"/>
      <c r="I240" s="98"/>
      <c r="J240" s="98"/>
      <c r="K240" s="55"/>
      <c r="L240" s="55"/>
      <c r="M240" s="55"/>
      <c r="N240" s="55"/>
      <c r="O240" s="55"/>
      <c r="P240" s="55"/>
      <c r="Q240" s="55"/>
      <c r="R240" s="55"/>
      <c r="S240" s="55"/>
      <c r="T240" s="55"/>
      <c r="U240" s="55"/>
      <c r="V240" s="55"/>
      <c r="W240" s="55"/>
      <c r="X240" s="55"/>
      <c r="Y240" s="55"/>
      <c r="Z240" s="55"/>
      <c r="AA240" s="55"/>
      <c r="AB240" s="55"/>
      <c r="AC240" s="55"/>
      <c r="AD240" s="55"/>
      <c r="AF240" s="106"/>
      <c r="AG240" s="4"/>
      <c r="AH240" s="4"/>
      <c r="AI240" s="107"/>
      <c r="AJ240" s="107"/>
      <c r="AK240" s="107"/>
      <c r="AL240" s="107"/>
      <c r="AM240" s="107"/>
      <c r="AN240" s="108"/>
    </row>
    <row r="241" spans="2:40" x14ac:dyDescent="0.15">
      <c r="B241" s="113"/>
      <c r="C241" s="9"/>
      <c r="D241" s="9"/>
      <c r="E241" s="9"/>
      <c r="F241" s="98"/>
      <c r="G241" s="98"/>
      <c r="H241" s="98"/>
      <c r="I241" s="98"/>
      <c r="J241" s="98"/>
      <c r="K241" s="55"/>
      <c r="L241" s="55"/>
      <c r="M241" s="55"/>
      <c r="N241" s="55"/>
      <c r="O241" s="55"/>
      <c r="P241" s="55"/>
      <c r="Q241" s="55"/>
      <c r="R241" s="55"/>
      <c r="S241" s="55"/>
      <c r="T241" s="55"/>
      <c r="U241" s="55"/>
      <c r="V241" s="55"/>
      <c r="W241" s="55"/>
      <c r="X241" s="55"/>
      <c r="Y241" s="55"/>
      <c r="Z241" s="55"/>
      <c r="AA241" s="55"/>
      <c r="AB241" s="55"/>
      <c r="AC241" s="55"/>
      <c r="AD241" s="55"/>
      <c r="AF241" s="106"/>
      <c r="AG241" s="4"/>
      <c r="AH241" s="4"/>
      <c r="AI241" s="107"/>
      <c r="AJ241" s="107"/>
      <c r="AK241" s="107"/>
      <c r="AL241" s="107"/>
      <c r="AM241" s="107"/>
      <c r="AN241" s="108"/>
    </row>
    <row r="242" spans="2:40" x14ac:dyDescent="0.15">
      <c r="B242" s="113"/>
      <c r="C242" s="9"/>
      <c r="D242" s="9"/>
      <c r="E242" s="9"/>
      <c r="F242" s="98"/>
      <c r="G242" s="98"/>
      <c r="H242" s="98"/>
      <c r="I242" s="98"/>
      <c r="J242" s="98"/>
      <c r="K242" s="55"/>
      <c r="L242" s="55"/>
      <c r="M242" s="55"/>
      <c r="N242" s="55"/>
      <c r="O242" s="55"/>
      <c r="P242" s="55"/>
      <c r="Q242" s="55"/>
      <c r="R242" s="55"/>
      <c r="S242" s="55"/>
      <c r="T242" s="55"/>
      <c r="U242" s="55"/>
      <c r="V242" s="55"/>
      <c r="W242" s="55"/>
      <c r="X242" s="55"/>
      <c r="Y242" s="55"/>
      <c r="Z242" s="55"/>
      <c r="AA242" s="55"/>
      <c r="AB242" s="55"/>
      <c r="AC242" s="55"/>
      <c r="AD242" s="55"/>
      <c r="AF242" s="106"/>
      <c r="AG242" s="4"/>
      <c r="AH242" s="4"/>
      <c r="AI242" s="107"/>
      <c r="AJ242" s="107"/>
      <c r="AK242" s="107"/>
      <c r="AL242" s="107"/>
      <c r="AM242" s="107"/>
      <c r="AN242" s="108"/>
    </row>
    <row r="243" spans="2:40" ht="15" thickBot="1" x14ac:dyDescent="0.2">
      <c r="B243" s="113"/>
      <c r="C243" s="9"/>
      <c r="D243" s="9"/>
      <c r="E243" s="9"/>
      <c r="F243" s="98"/>
      <c r="G243" s="98"/>
      <c r="H243" s="98"/>
      <c r="I243" s="98"/>
      <c r="J243" s="98"/>
      <c r="K243" s="55"/>
      <c r="L243" s="55"/>
      <c r="M243" s="55"/>
      <c r="N243" s="55"/>
      <c r="O243" s="55"/>
      <c r="P243" s="55"/>
      <c r="Q243" s="55"/>
      <c r="R243" s="55"/>
      <c r="S243" s="55"/>
      <c r="T243" s="55"/>
      <c r="U243" s="55"/>
      <c r="V243" s="55"/>
      <c r="W243" s="55"/>
      <c r="X243" s="55"/>
      <c r="Y243" s="55"/>
      <c r="Z243" s="55"/>
      <c r="AA243" s="55"/>
      <c r="AB243" s="55"/>
      <c r="AC243" s="55"/>
      <c r="AD243" s="55"/>
      <c r="AF243" s="109"/>
      <c r="AG243" s="110"/>
      <c r="AH243" s="110"/>
      <c r="AI243" s="111"/>
      <c r="AJ243" s="111"/>
      <c r="AK243" s="111"/>
      <c r="AL243" s="111"/>
      <c r="AM243" s="111"/>
      <c r="AN243" s="112"/>
    </row>
    <row r="244" spans="2:40" x14ac:dyDescent="0.15">
      <c r="B244" s="113"/>
      <c r="C244" s="9"/>
      <c r="D244" s="9"/>
      <c r="E244" s="9"/>
      <c r="F244" s="98"/>
      <c r="G244" s="98"/>
      <c r="H244" s="98"/>
      <c r="I244" s="98"/>
      <c r="J244" s="98"/>
      <c r="K244" s="55"/>
      <c r="L244" s="55"/>
      <c r="M244" s="55"/>
      <c r="N244" s="55"/>
      <c r="O244" s="55"/>
      <c r="P244" s="55"/>
      <c r="Q244" s="55"/>
      <c r="R244" s="55"/>
      <c r="S244" s="55"/>
      <c r="T244" s="55"/>
      <c r="U244" s="55"/>
      <c r="V244" s="55"/>
      <c r="W244" s="55"/>
      <c r="X244" s="55"/>
      <c r="Y244" s="55"/>
      <c r="Z244" s="55"/>
      <c r="AA244" s="55"/>
      <c r="AB244" s="55"/>
      <c r="AC244" s="55"/>
      <c r="AD244" s="55"/>
    </row>
    <row r="245" spans="2:40" ht="15" thickBot="1" x14ac:dyDescent="0.2">
      <c r="B245" s="113"/>
      <c r="C245" s="9"/>
      <c r="D245" s="9"/>
      <c r="E245" s="9"/>
      <c r="F245" s="98"/>
      <c r="G245" s="98"/>
      <c r="H245" s="98"/>
      <c r="I245" s="98"/>
      <c r="J245" s="98"/>
      <c r="K245" s="55"/>
      <c r="L245" s="55"/>
      <c r="M245" s="55"/>
      <c r="N245" s="55"/>
      <c r="O245" s="55"/>
      <c r="P245" s="55"/>
      <c r="Q245" s="55"/>
      <c r="R245" s="55"/>
      <c r="S245" s="55"/>
      <c r="T245" s="55"/>
      <c r="U245" s="55"/>
      <c r="V245" s="55"/>
      <c r="W245" s="55"/>
      <c r="X245" s="55"/>
      <c r="Y245" s="55"/>
      <c r="Z245" s="55"/>
      <c r="AA245" s="55"/>
      <c r="AB245" s="55"/>
      <c r="AC245" s="55"/>
      <c r="AD245" s="55"/>
      <c r="AF245" s="99" t="s">
        <v>538</v>
      </c>
      <c r="AG245" s="23"/>
      <c r="AH245" s="9" t="s">
        <v>596</v>
      </c>
      <c r="AI245" s="9"/>
      <c r="AJ245" s="23"/>
      <c r="AK245" s="23"/>
      <c r="AL245" s="23"/>
      <c r="AM245" s="23"/>
      <c r="AN245" s="23"/>
    </row>
    <row r="246" spans="2:40" x14ac:dyDescent="0.15">
      <c r="B246" s="113"/>
      <c r="C246" s="9"/>
      <c r="D246" s="9"/>
      <c r="E246" s="9"/>
      <c r="F246" s="98"/>
      <c r="G246" s="98"/>
      <c r="H246" s="98"/>
      <c r="I246" s="98"/>
      <c r="J246" s="98"/>
      <c r="K246" s="55"/>
      <c r="L246" s="55"/>
      <c r="M246" s="55"/>
      <c r="N246" s="55"/>
      <c r="O246" s="55"/>
      <c r="P246" s="55"/>
      <c r="Q246" s="55"/>
      <c r="R246" s="55"/>
      <c r="S246" s="55"/>
      <c r="T246" s="55"/>
      <c r="U246" s="55"/>
      <c r="V246" s="55"/>
      <c r="W246" s="55"/>
      <c r="X246" s="55"/>
      <c r="Y246" s="55"/>
      <c r="Z246" s="55"/>
      <c r="AA246" s="55"/>
      <c r="AB246" s="55"/>
      <c r="AC246" s="55"/>
      <c r="AD246" s="55"/>
      <c r="AF246" s="1442" t="s">
        <v>15</v>
      </c>
      <c r="AG246" s="1448" t="s">
        <v>16</v>
      </c>
      <c r="AH246" s="1451" t="s">
        <v>17</v>
      </c>
      <c r="AI246" s="1438" t="s">
        <v>19</v>
      </c>
      <c r="AJ246" s="1454"/>
      <c r="AK246" s="1454"/>
      <c r="AL246" s="1454"/>
      <c r="AM246" s="1454"/>
      <c r="AN246" s="1455"/>
    </row>
    <row r="247" spans="2:40" x14ac:dyDescent="0.15">
      <c r="B247" s="113"/>
      <c r="C247" s="9"/>
      <c r="D247" s="9"/>
      <c r="E247" s="9"/>
      <c r="F247" s="98"/>
      <c r="G247" s="98"/>
      <c r="H247" s="98"/>
      <c r="I247" s="98"/>
      <c r="J247" s="98"/>
      <c r="K247" s="55"/>
      <c r="L247" s="55"/>
      <c r="M247" s="55"/>
      <c r="N247" s="55"/>
      <c r="O247" s="55"/>
      <c r="P247" s="55"/>
      <c r="Q247" s="55"/>
      <c r="R247" s="55"/>
      <c r="S247" s="55"/>
      <c r="T247" s="55"/>
      <c r="U247" s="55"/>
      <c r="V247" s="55"/>
      <c r="W247" s="55"/>
      <c r="X247" s="55"/>
      <c r="Y247" s="55"/>
      <c r="Z247" s="55"/>
      <c r="AA247" s="55"/>
      <c r="AB247" s="55"/>
      <c r="AC247" s="55"/>
      <c r="AD247" s="55"/>
      <c r="AF247" s="1443"/>
      <c r="AG247" s="1449"/>
      <c r="AH247" s="1452"/>
      <c r="AI247" s="733" t="s">
        <v>575</v>
      </c>
      <c r="AJ247" s="733" t="s">
        <v>576</v>
      </c>
      <c r="AK247" s="733" t="s">
        <v>577</v>
      </c>
      <c r="AL247" s="733" t="s">
        <v>578</v>
      </c>
      <c r="AM247" s="733" t="s">
        <v>579</v>
      </c>
      <c r="AN247" s="100" t="s">
        <v>580</v>
      </c>
    </row>
    <row r="248" spans="2:40" ht="15" thickBot="1" x14ac:dyDescent="0.2">
      <c r="B248" s="113"/>
      <c r="C248" s="9"/>
      <c r="D248" s="9"/>
      <c r="E248" s="9"/>
      <c r="F248" s="98"/>
      <c r="G248" s="98"/>
      <c r="H248" s="98"/>
      <c r="I248" s="98"/>
      <c r="J248" s="98"/>
      <c r="K248" s="55"/>
      <c r="L248" s="55"/>
      <c r="M248" s="55"/>
      <c r="N248" s="55"/>
      <c r="O248" s="55"/>
      <c r="P248" s="55"/>
      <c r="Q248" s="55"/>
      <c r="R248" s="55"/>
      <c r="S248" s="55"/>
      <c r="T248" s="55"/>
      <c r="U248" s="55"/>
      <c r="V248" s="55"/>
      <c r="W248" s="55"/>
      <c r="X248" s="55"/>
      <c r="Y248" s="55"/>
      <c r="Z248" s="55"/>
      <c r="AA248" s="55"/>
      <c r="AB248" s="55"/>
      <c r="AC248" s="55"/>
      <c r="AD248" s="55"/>
      <c r="AF248" s="101"/>
      <c r="AG248" s="1450"/>
      <c r="AH248" s="1453"/>
      <c r="AI248" s="734" t="s">
        <v>1</v>
      </c>
      <c r="AJ248" s="734" t="s">
        <v>3</v>
      </c>
      <c r="AK248" s="734" t="s">
        <v>2</v>
      </c>
      <c r="AL248" s="734" t="s">
        <v>4</v>
      </c>
      <c r="AM248" s="734" t="s">
        <v>244</v>
      </c>
      <c r="AN248" s="102" t="s">
        <v>20</v>
      </c>
    </row>
    <row r="249" spans="2:40" x14ac:dyDescent="0.15">
      <c r="B249" s="113"/>
      <c r="C249" s="9"/>
      <c r="D249" s="9"/>
      <c r="E249" s="9"/>
      <c r="F249" s="98"/>
      <c r="G249" s="98"/>
      <c r="H249" s="98"/>
      <c r="I249" s="98"/>
      <c r="J249" s="98"/>
      <c r="K249" s="55"/>
      <c r="L249" s="55"/>
      <c r="M249" s="55"/>
      <c r="N249" s="55"/>
      <c r="O249" s="55"/>
      <c r="P249" s="55"/>
      <c r="Q249" s="55"/>
      <c r="R249" s="55"/>
      <c r="S249" s="55"/>
      <c r="T249" s="55"/>
      <c r="U249" s="55"/>
      <c r="V249" s="55"/>
      <c r="W249" s="55"/>
      <c r="X249" s="55"/>
      <c r="Y249" s="55"/>
      <c r="Z249" s="55"/>
      <c r="AA249" s="55"/>
      <c r="AB249" s="55"/>
      <c r="AC249" s="55"/>
      <c r="AD249" s="55"/>
      <c r="AF249" s="103" t="s">
        <v>23</v>
      </c>
      <c r="AG249" s="114" t="s">
        <v>21</v>
      </c>
      <c r="AH249" s="118" t="s">
        <v>596</v>
      </c>
      <c r="AI249" s="104">
        <v>37.200000000000003</v>
      </c>
      <c r="AJ249" s="104">
        <v>27.6</v>
      </c>
      <c r="AK249" s="104">
        <v>46.2</v>
      </c>
      <c r="AL249" s="104">
        <v>1.8</v>
      </c>
      <c r="AM249" s="104">
        <v>6</v>
      </c>
      <c r="AN249" s="108">
        <v>12740</v>
      </c>
    </row>
    <row r="250" spans="2:40" x14ac:dyDescent="0.15">
      <c r="B250" s="113"/>
      <c r="C250" s="9"/>
      <c r="D250" s="9"/>
      <c r="E250" s="9"/>
      <c r="F250" s="98"/>
      <c r="G250" s="98"/>
      <c r="H250" s="98"/>
      <c r="I250" s="98"/>
      <c r="J250" s="98"/>
      <c r="K250" s="55"/>
      <c r="L250" s="55"/>
      <c r="M250" s="55"/>
      <c r="N250" s="55"/>
      <c r="O250" s="55"/>
      <c r="P250" s="55"/>
      <c r="Q250" s="55"/>
      <c r="R250" s="55"/>
      <c r="S250" s="55"/>
      <c r="T250" s="55"/>
      <c r="U250" s="55"/>
      <c r="V250" s="55"/>
      <c r="W250" s="55"/>
      <c r="X250" s="55"/>
      <c r="Y250" s="55"/>
      <c r="Z250" s="55"/>
      <c r="AA250" s="55"/>
      <c r="AB250" s="55"/>
      <c r="AC250" s="55"/>
      <c r="AD250" s="55"/>
      <c r="AF250" s="106" t="s">
        <v>24</v>
      </c>
      <c r="AG250" s="4" t="s">
        <v>21</v>
      </c>
      <c r="AH250" s="119" t="s">
        <v>596</v>
      </c>
      <c r="AI250" s="107">
        <v>37.799999999999997</v>
      </c>
      <c r="AJ250" s="107">
        <v>28.2</v>
      </c>
      <c r="AK250" s="107">
        <v>46.8</v>
      </c>
      <c r="AL250" s="107">
        <v>2.1</v>
      </c>
      <c r="AM250" s="107">
        <v>7.8</v>
      </c>
      <c r="AN250" s="108">
        <v>12740</v>
      </c>
    </row>
    <row r="251" spans="2:40" x14ac:dyDescent="0.15">
      <c r="B251" s="113"/>
      <c r="C251" s="9"/>
      <c r="D251" s="9"/>
      <c r="E251" s="9"/>
      <c r="F251" s="98"/>
      <c r="G251" s="98"/>
      <c r="H251" s="98"/>
      <c r="I251" s="98"/>
      <c r="J251" s="98"/>
      <c r="K251" s="55"/>
      <c r="L251" s="55"/>
      <c r="M251" s="55"/>
      <c r="N251" s="55"/>
      <c r="O251" s="55"/>
      <c r="P251" s="55"/>
      <c r="Q251" s="55"/>
      <c r="R251" s="55"/>
      <c r="S251" s="55"/>
      <c r="T251" s="55"/>
      <c r="U251" s="55"/>
      <c r="V251" s="55"/>
      <c r="W251" s="55"/>
      <c r="X251" s="55"/>
      <c r="Y251" s="55"/>
      <c r="Z251" s="55"/>
      <c r="AA251" s="55"/>
      <c r="AB251" s="55"/>
      <c r="AC251" s="55"/>
      <c r="AD251" s="55"/>
      <c r="AF251" s="106" t="s">
        <v>25</v>
      </c>
      <c r="AG251" s="4" t="s">
        <v>21</v>
      </c>
      <c r="AH251" s="119" t="s">
        <v>597</v>
      </c>
      <c r="AI251" s="107">
        <v>31.2</v>
      </c>
      <c r="AJ251" s="107">
        <v>24</v>
      </c>
      <c r="AK251" s="107">
        <v>39.6</v>
      </c>
      <c r="AL251" s="107">
        <v>2.4</v>
      </c>
      <c r="AM251" s="107">
        <v>9</v>
      </c>
      <c r="AN251" s="108">
        <v>9800</v>
      </c>
    </row>
    <row r="252" spans="2:40" x14ac:dyDescent="0.15">
      <c r="B252" s="113"/>
      <c r="C252" s="9"/>
      <c r="D252" s="9"/>
      <c r="E252" s="9"/>
      <c r="F252" s="98"/>
      <c r="G252" s="98"/>
      <c r="H252" s="98"/>
      <c r="I252" s="98"/>
      <c r="J252" s="98"/>
      <c r="K252" s="55"/>
      <c r="L252" s="55"/>
      <c r="M252" s="55"/>
      <c r="N252" s="55"/>
      <c r="O252" s="55"/>
      <c r="P252" s="55"/>
      <c r="Q252" s="55"/>
      <c r="R252" s="55"/>
      <c r="S252" s="55"/>
      <c r="T252" s="55"/>
      <c r="U252" s="55"/>
      <c r="V252" s="55"/>
      <c r="W252" s="55"/>
      <c r="X252" s="55"/>
      <c r="Y252" s="55"/>
      <c r="Z252" s="55"/>
      <c r="AA252" s="55"/>
      <c r="AB252" s="55"/>
      <c r="AC252" s="55"/>
      <c r="AD252" s="55"/>
      <c r="AF252" s="106" t="s">
        <v>26</v>
      </c>
      <c r="AG252" s="4" t="s">
        <v>21</v>
      </c>
      <c r="AH252" s="119" t="s">
        <v>598</v>
      </c>
      <c r="AI252" s="107">
        <v>31.2</v>
      </c>
      <c r="AJ252" s="107">
        <v>24</v>
      </c>
      <c r="AK252" s="107">
        <v>39.6</v>
      </c>
      <c r="AL252" s="107">
        <v>2.4</v>
      </c>
      <c r="AM252" s="107">
        <v>9</v>
      </c>
      <c r="AN252" s="108">
        <v>12740</v>
      </c>
    </row>
    <row r="253" spans="2:40" x14ac:dyDescent="0.15">
      <c r="B253" s="113"/>
      <c r="C253" s="9"/>
      <c r="D253" s="9"/>
      <c r="E253" s="9"/>
      <c r="F253" s="98"/>
      <c r="G253" s="98"/>
      <c r="H253" s="98"/>
      <c r="I253" s="98"/>
      <c r="J253" s="98"/>
      <c r="K253" s="55"/>
      <c r="L253" s="55"/>
      <c r="M253" s="55"/>
      <c r="N253" s="55"/>
      <c r="O253" s="55"/>
      <c r="P253" s="55"/>
      <c r="Q253" s="55"/>
      <c r="R253" s="55"/>
      <c r="S253" s="55"/>
      <c r="T253" s="55"/>
      <c r="U253" s="55"/>
      <c r="V253" s="55"/>
      <c r="W253" s="55"/>
      <c r="X253" s="55"/>
      <c r="Y253" s="55"/>
      <c r="Z253" s="55"/>
      <c r="AA253" s="55"/>
      <c r="AB253" s="55"/>
      <c r="AC253" s="55"/>
      <c r="AD253" s="55"/>
      <c r="AF253" s="106" t="s">
        <v>27</v>
      </c>
      <c r="AG253" s="4" t="s">
        <v>21</v>
      </c>
      <c r="AH253" s="119" t="s">
        <v>597</v>
      </c>
      <c r="AI253" s="107"/>
      <c r="AJ253" s="107"/>
      <c r="AK253" s="107"/>
      <c r="AL253" s="107"/>
      <c r="AM253" s="107"/>
      <c r="AN253" s="108"/>
    </row>
    <row r="254" spans="2:40" x14ac:dyDescent="0.15">
      <c r="B254" s="113"/>
      <c r="C254" s="9"/>
      <c r="D254" s="9"/>
      <c r="E254" s="9"/>
      <c r="F254" s="98"/>
      <c r="G254" s="98"/>
      <c r="H254" s="98"/>
      <c r="I254" s="98"/>
      <c r="J254" s="98"/>
      <c r="K254" s="55"/>
      <c r="L254" s="55"/>
      <c r="M254" s="55"/>
      <c r="N254" s="55"/>
      <c r="O254" s="55"/>
      <c r="P254" s="55"/>
      <c r="Q254" s="55"/>
      <c r="R254" s="55"/>
      <c r="S254" s="55"/>
      <c r="T254" s="55"/>
      <c r="U254" s="55"/>
      <c r="V254" s="55"/>
      <c r="W254" s="55"/>
      <c r="X254" s="55"/>
      <c r="Y254" s="55"/>
      <c r="Z254" s="55"/>
      <c r="AA254" s="55"/>
      <c r="AB254" s="55"/>
      <c r="AC254" s="55"/>
      <c r="AD254" s="55"/>
      <c r="AF254" s="106" t="s">
        <v>28</v>
      </c>
      <c r="AG254" s="4" t="s">
        <v>21</v>
      </c>
      <c r="AH254" s="119" t="s">
        <v>598</v>
      </c>
      <c r="AI254" s="107">
        <v>37.799999999999997</v>
      </c>
      <c r="AJ254" s="107">
        <v>28.2</v>
      </c>
      <c r="AK254" s="107">
        <v>46.8</v>
      </c>
      <c r="AL254" s="107">
        <v>2.1</v>
      </c>
      <c r="AM254" s="107">
        <v>7.8</v>
      </c>
      <c r="AN254" s="108">
        <v>12740</v>
      </c>
    </row>
    <row r="255" spans="2:40" ht="15" hidden="1" thickBot="1" x14ac:dyDescent="0.2">
      <c r="B255" s="57"/>
      <c r="C255" s="115" t="s">
        <v>538</v>
      </c>
      <c r="D255" s="9"/>
      <c r="E255" s="2"/>
      <c r="F255" s="50"/>
      <c r="G255" s="9"/>
      <c r="H255" s="9"/>
      <c r="I255" s="9"/>
      <c r="J255" s="2"/>
      <c r="K255" s="9"/>
      <c r="L255" s="9"/>
      <c r="M255" s="115" t="s">
        <v>538</v>
      </c>
      <c r="N255" s="9"/>
      <c r="O255" s="2"/>
      <c r="P255" s="50"/>
      <c r="Q255" s="9"/>
      <c r="R255" s="9"/>
      <c r="S255" s="9"/>
      <c r="T255" s="2"/>
      <c r="U255" s="9"/>
      <c r="V255" s="9"/>
      <c r="W255" s="115" t="s">
        <v>538</v>
      </c>
      <c r="X255" s="9"/>
      <c r="Y255" s="2"/>
      <c r="Z255" s="50"/>
      <c r="AA255" s="9"/>
      <c r="AB255" s="9"/>
      <c r="AC255" s="9"/>
      <c r="AD255" s="2"/>
      <c r="AE255" s="9"/>
      <c r="AF255" s="106" t="s">
        <v>585</v>
      </c>
      <c r="AG255" s="4" t="s">
        <v>21</v>
      </c>
      <c r="AH255" s="119" t="s">
        <v>598</v>
      </c>
      <c r="AI255" s="107">
        <v>37.799999999999997</v>
      </c>
      <c r="AJ255" s="107">
        <v>28.2</v>
      </c>
      <c r="AK255" s="107">
        <v>46.8</v>
      </c>
      <c r="AL255" s="107">
        <v>2.1</v>
      </c>
      <c r="AM255" s="107">
        <v>7.8</v>
      </c>
      <c r="AN255" s="108">
        <v>12740</v>
      </c>
    </row>
    <row r="256" spans="2:40" hidden="1" x14ac:dyDescent="0.15">
      <c r="B256" s="57"/>
      <c r="C256" s="120" t="s">
        <v>0</v>
      </c>
      <c r="D256" s="121"/>
      <c r="E256" s="1440" t="s">
        <v>40</v>
      </c>
      <c r="F256" s="731" t="s">
        <v>1</v>
      </c>
      <c r="G256" s="733" t="s">
        <v>576</v>
      </c>
      <c r="H256" s="733" t="s">
        <v>577</v>
      </c>
      <c r="I256" s="731" t="s">
        <v>4</v>
      </c>
      <c r="J256" s="731" t="s">
        <v>244</v>
      </c>
      <c r="K256" s="732" t="s">
        <v>20</v>
      </c>
      <c r="L256" s="741"/>
      <c r="M256" s="120" t="s">
        <v>0</v>
      </c>
      <c r="N256" s="121"/>
      <c r="O256" s="1440" t="s">
        <v>40</v>
      </c>
      <c r="P256" s="731" t="s">
        <v>1</v>
      </c>
      <c r="Q256" s="733" t="s">
        <v>545</v>
      </c>
      <c r="R256" s="733" t="s">
        <v>546</v>
      </c>
      <c r="S256" s="731" t="s">
        <v>4</v>
      </c>
      <c r="T256" s="731" t="s">
        <v>244</v>
      </c>
      <c r="U256" s="732" t="s">
        <v>20</v>
      </c>
      <c r="V256" s="741"/>
      <c r="W256" s="120" t="s">
        <v>0</v>
      </c>
      <c r="X256" s="121"/>
      <c r="Y256" s="1440" t="s">
        <v>40</v>
      </c>
      <c r="Z256" s="731" t="s">
        <v>1</v>
      </c>
      <c r="AA256" s="733" t="s">
        <v>545</v>
      </c>
      <c r="AB256" s="733" t="s">
        <v>546</v>
      </c>
      <c r="AC256" s="731" t="s">
        <v>4</v>
      </c>
      <c r="AD256" s="731" t="s">
        <v>244</v>
      </c>
      <c r="AE256" s="732" t="s">
        <v>20</v>
      </c>
      <c r="AF256" s="106" t="s">
        <v>30</v>
      </c>
      <c r="AG256" s="4" t="s">
        <v>21</v>
      </c>
      <c r="AH256" s="119" t="s">
        <v>596</v>
      </c>
      <c r="AI256" s="107"/>
      <c r="AJ256" s="107"/>
      <c r="AK256" s="107"/>
      <c r="AL256" s="107"/>
      <c r="AM256" s="107"/>
      <c r="AN256" s="108"/>
    </row>
    <row r="257" spans="2:40" ht="15" hidden="1" thickBot="1" x14ac:dyDescent="0.2">
      <c r="B257" s="57"/>
      <c r="C257" s="122"/>
      <c r="D257" s="50"/>
      <c r="E257" s="1441"/>
      <c r="F257" s="123" t="s">
        <v>599</v>
      </c>
      <c r="G257" s="734" t="s">
        <v>3</v>
      </c>
      <c r="H257" s="734" t="s">
        <v>2</v>
      </c>
      <c r="I257" s="123" t="s">
        <v>600</v>
      </c>
      <c r="J257" s="734" t="s">
        <v>579</v>
      </c>
      <c r="K257" s="124" t="s">
        <v>601</v>
      </c>
      <c r="L257" s="7"/>
      <c r="M257" s="122"/>
      <c r="N257" s="50"/>
      <c r="O257" s="1441"/>
      <c r="P257" s="123" t="s">
        <v>599</v>
      </c>
      <c r="Q257" s="734" t="s">
        <v>3</v>
      </c>
      <c r="R257" s="734" t="s">
        <v>2</v>
      </c>
      <c r="S257" s="123" t="s">
        <v>600</v>
      </c>
      <c r="T257" s="734" t="s">
        <v>548</v>
      </c>
      <c r="U257" s="124" t="s">
        <v>601</v>
      </c>
      <c r="V257" s="7"/>
      <c r="W257" s="122"/>
      <c r="X257" s="50"/>
      <c r="Y257" s="1441"/>
      <c r="Z257" s="123" t="s">
        <v>599</v>
      </c>
      <c r="AA257" s="734" t="s">
        <v>3</v>
      </c>
      <c r="AB257" s="734" t="s">
        <v>2</v>
      </c>
      <c r="AC257" s="123" t="s">
        <v>600</v>
      </c>
      <c r="AD257" s="734" t="s">
        <v>548</v>
      </c>
      <c r="AE257" s="124" t="s">
        <v>601</v>
      </c>
      <c r="AF257" s="106" t="s">
        <v>31</v>
      </c>
      <c r="AG257" s="4" t="s">
        <v>21</v>
      </c>
      <c r="AH257" s="119" t="s">
        <v>597</v>
      </c>
      <c r="AI257" s="107">
        <v>31.2</v>
      </c>
      <c r="AJ257" s="107">
        <v>24</v>
      </c>
      <c r="AK257" s="107">
        <v>39.6</v>
      </c>
      <c r="AL257" s="107">
        <v>2.1</v>
      </c>
      <c r="AM257" s="107">
        <v>6</v>
      </c>
      <c r="AN257" s="108">
        <v>12740</v>
      </c>
    </row>
    <row r="258" spans="2:40" hidden="1" x14ac:dyDescent="0.15">
      <c r="B258" s="57">
        <v>1</v>
      </c>
      <c r="C258" s="103" t="s">
        <v>23</v>
      </c>
      <c r="D258" s="117"/>
      <c r="E258" s="117"/>
      <c r="F258" s="117">
        <f>IF($C$309=0,0,+IF($C$309=1,AI7,IF($C$309=2,AI29,IF($C$309=3,AI51,IF($C$309=4,AI73,IF($C$309=5,AI95,IF($C$309=6,AI117,IF($C$309=7,AI139,IF($C$309=8,AI161,IF($C$309=9,AI183,IF($C$309=10,AI205,IF($C$309=11,AI227,IF($C$309=12,AI249,IF($C$309=13,AI271,0))))))))))))))</f>
        <v>0</v>
      </c>
      <c r="G258" s="117">
        <f t="shared" ref="G258:K273" si="58">IF($C$309=0,0,+IF($C$309=1,AJ7,IF($C$309=2,AJ29,IF($C$309=3,AJ51,IF($C$309=4,AJ73,IF($C$309=5,AJ95,IF($C$309=6,AJ117,IF($C$309=7,AJ139,IF($C$309=8,AJ161,IF($C$309=9,AJ183,IF($C$309=10,AJ205,IF($C$309=11,AJ227,IF($C$309=12,AJ249,IF($C$309=13,AJ271,0))))))))))))))</f>
        <v>0</v>
      </c>
      <c r="H258" s="117">
        <f t="shared" si="58"/>
        <v>0</v>
      </c>
      <c r="I258" s="117">
        <f t="shared" si="58"/>
        <v>0</v>
      </c>
      <c r="J258" s="117">
        <f t="shared" si="58"/>
        <v>0</v>
      </c>
      <c r="K258" s="117">
        <f t="shared" si="58"/>
        <v>0</v>
      </c>
      <c r="L258" s="55"/>
      <c r="M258" s="103" t="s">
        <v>23</v>
      </c>
      <c r="N258" s="117"/>
      <c r="O258" s="117"/>
      <c r="P258" s="117">
        <f>IF($D$309=0,0,+IF($D$309=1,AI7,IF($D$309=2,AI29,IF($D$309=3,AI51,IF($D$309=4,AI73,IF($D$309=5,AI95,IF($D$309=6,AI117,IF($D$309=7,AI139,IF($D$309=8,AI161,IF($D$309=9,AI183,IF($D$309=10,AI205,IF($D$309=11,AI227,IF($D$309=12,AI249,IF($D$309=13,AI271,0))))))))))))))</f>
        <v>0</v>
      </c>
      <c r="Q258" s="117">
        <f t="shared" ref="Q258:U273" si="59">IF($D$309=0,0,+IF($D$309=1,AJ7,IF($D$309=2,AJ29,IF($D$309=3,AJ51,IF($D$309=4,AJ73,IF($D$309=5,AJ95,IF($D$309=6,AJ117,IF($D$309=7,AJ139,IF($D$309=8,AJ161,IF($D$309=9,AJ183,IF($D$309=10,AJ205,IF($D$309=11,AJ227,IF($D$309=12,AJ249,IF($D$309=13,AJ271,0))))))))))))))</f>
        <v>0</v>
      </c>
      <c r="R258" s="117">
        <f t="shared" si="59"/>
        <v>0</v>
      </c>
      <c r="S258" s="117">
        <f t="shared" si="59"/>
        <v>0</v>
      </c>
      <c r="T258" s="117">
        <f t="shared" si="59"/>
        <v>0</v>
      </c>
      <c r="U258" s="117">
        <f t="shared" si="59"/>
        <v>0</v>
      </c>
      <c r="V258" s="55"/>
      <c r="W258" s="103" t="s">
        <v>23</v>
      </c>
      <c r="X258" s="117"/>
      <c r="Y258" s="117"/>
      <c r="Z258" s="117">
        <f>IF($E$309=0,0,+IF($E$309=1,AI7,IF($E$309=2,AI29,IF($E$309=3,AI51,IF($E$309=4,AI73,IF($E$309=5,AI95,IF($E$309=6,AI117,IF($E$309=7,AI139,IF($E$309=8,AI161,IF($E$309=9,AI183,IF($E$309=10,AI205,IF($E$309=11,AI227,IF($E$309=12,AI249,IF($E$309=13,AI271,0))))))))))))))</f>
        <v>0</v>
      </c>
      <c r="AA258" s="117">
        <f t="shared" ref="AA258:AE273" si="60">IF($E$309=0,0,+IF($E$309=1,AJ7,IF($E$309=2,AJ29,IF($E$309=3,AJ51,IF($E$309=4,AJ73,IF($E$309=5,AJ95,IF($E$309=6,AJ117,IF($E$309=7,AJ139,IF($E$309=8,AJ161,IF($E$309=9,AJ183,IF($E$309=10,AJ205,IF($E$309=11,AJ227,IF($E$309=12,AJ249,IF($E$309=13,AJ271,0))))))))))))))</f>
        <v>0</v>
      </c>
      <c r="AB258" s="117">
        <f t="shared" si="60"/>
        <v>0</v>
      </c>
      <c r="AC258" s="117">
        <f t="shared" si="60"/>
        <v>0</v>
      </c>
      <c r="AD258" s="117">
        <f t="shared" si="60"/>
        <v>0</v>
      </c>
      <c r="AE258" s="117">
        <f t="shared" si="60"/>
        <v>0</v>
      </c>
      <c r="AF258" s="106" t="s">
        <v>602</v>
      </c>
      <c r="AG258" s="4" t="s">
        <v>21</v>
      </c>
      <c r="AH258" s="119" t="s">
        <v>596</v>
      </c>
      <c r="AI258" s="107"/>
      <c r="AJ258" s="107"/>
      <c r="AK258" s="107"/>
      <c r="AL258" s="107"/>
      <c r="AM258" s="107"/>
      <c r="AN258" s="108"/>
    </row>
    <row r="259" spans="2:40" hidden="1" x14ac:dyDescent="0.15">
      <c r="B259" s="57">
        <v>2</v>
      </c>
      <c r="C259" s="106" t="s">
        <v>24</v>
      </c>
      <c r="D259" s="4"/>
      <c r="E259" s="4"/>
      <c r="F259" s="117">
        <f t="shared" ref="F259:F274" si="61">IF($C$309=0,0,+IF($C$309=1,AI8,IF($C$309=2,AI30,IF($C$309=3,AI52,IF($C$309=4,AI74,IF($C$309=5,AI96,IF($C$309=6,AI118,IF($C$309=7,AI140,IF($C$309=8,AI162,IF($C$309=9,AI184,IF($C$309=10,AI206,IF($C$309=11,AI228,IF($C$309=12,AI250,IF($C$309=13,AI272,0))))))))))))))</f>
        <v>0</v>
      </c>
      <c r="G259" s="117">
        <f t="shared" si="58"/>
        <v>0</v>
      </c>
      <c r="H259" s="117">
        <f t="shared" si="58"/>
        <v>0</v>
      </c>
      <c r="I259" s="117">
        <f t="shared" si="58"/>
        <v>0</v>
      </c>
      <c r="J259" s="117">
        <f t="shared" si="58"/>
        <v>0</v>
      </c>
      <c r="K259" s="117">
        <f t="shared" si="58"/>
        <v>0</v>
      </c>
      <c r="L259" s="55"/>
      <c r="M259" s="106" t="s">
        <v>24</v>
      </c>
      <c r="N259" s="4"/>
      <c r="O259" s="4"/>
      <c r="P259" s="117">
        <f t="shared" ref="P259:P274" si="62">IF($D$309=0,0,+IF($D$309=1,AI8,IF($D$309=2,AI30,IF($D$309=3,AI52,IF($D$309=4,AI74,IF($D$309=5,AI96,IF($D$309=6,AI118,IF($D$309=7,AI140,IF($D$309=8,AI162,IF($D$309=9,AI184,IF($D$309=10,AI206,IF($D$309=11,AI228,IF($D$309=12,AI250,IF($D$309=13,AI272,0))))))))))))))</f>
        <v>0</v>
      </c>
      <c r="Q259" s="117">
        <f t="shared" si="59"/>
        <v>0</v>
      </c>
      <c r="R259" s="117">
        <f t="shared" si="59"/>
        <v>0</v>
      </c>
      <c r="S259" s="117">
        <f t="shared" si="59"/>
        <v>0</v>
      </c>
      <c r="T259" s="117">
        <f t="shared" si="59"/>
        <v>0</v>
      </c>
      <c r="U259" s="117">
        <f t="shared" si="59"/>
        <v>0</v>
      </c>
      <c r="V259" s="55"/>
      <c r="W259" s="106" t="s">
        <v>24</v>
      </c>
      <c r="X259" s="4"/>
      <c r="Y259" s="4"/>
      <c r="Z259" s="117">
        <f t="shared" ref="Z259:Z274" si="63">IF($E$309=0,0,+IF($E$309=1,AI8,IF($E$309=2,AI30,IF($E$309=3,AI52,IF($E$309=4,AI74,IF($E$309=5,AI96,IF($E$309=6,AI118,IF($E$309=7,AI140,IF($E$309=8,AI162,IF($E$309=9,AI184,IF($E$309=10,AI206,IF($E$309=11,AI228,IF($E$309=12,AI250,IF($E$309=13,AI272,0))))))))))))))</f>
        <v>0</v>
      </c>
      <c r="AA259" s="117">
        <f t="shared" si="60"/>
        <v>0</v>
      </c>
      <c r="AB259" s="117">
        <f t="shared" si="60"/>
        <v>0</v>
      </c>
      <c r="AC259" s="117">
        <f t="shared" si="60"/>
        <v>0</v>
      </c>
      <c r="AD259" s="117">
        <f t="shared" si="60"/>
        <v>0</v>
      </c>
      <c r="AE259" s="117">
        <f t="shared" si="60"/>
        <v>0</v>
      </c>
      <c r="AF259" s="106" t="s">
        <v>33</v>
      </c>
      <c r="AG259" s="4" t="s">
        <v>21</v>
      </c>
      <c r="AH259" s="119" t="s">
        <v>598</v>
      </c>
      <c r="AI259" s="107">
        <v>31.2</v>
      </c>
      <c r="AJ259" s="107">
        <v>24</v>
      </c>
      <c r="AK259" s="107">
        <v>39.6</v>
      </c>
      <c r="AL259" s="107">
        <v>1.8</v>
      </c>
      <c r="AM259" s="107">
        <v>6</v>
      </c>
      <c r="AN259" s="108">
        <v>12740</v>
      </c>
    </row>
    <row r="260" spans="2:40" hidden="1" x14ac:dyDescent="0.15">
      <c r="B260" s="57">
        <v>3</v>
      </c>
      <c r="C260" s="106" t="s">
        <v>25</v>
      </c>
      <c r="D260" s="4"/>
      <c r="E260" s="4"/>
      <c r="F260" s="117">
        <f t="shared" si="61"/>
        <v>0</v>
      </c>
      <c r="G260" s="117">
        <f t="shared" si="58"/>
        <v>0</v>
      </c>
      <c r="H260" s="117">
        <f t="shared" si="58"/>
        <v>0</v>
      </c>
      <c r="I260" s="117">
        <f t="shared" si="58"/>
        <v>0</v>
      </c>
      <c r="J260" s="117">
        <f t="shared" si="58"/>
        <v>0</v>
      </c>
      <c r="K260" s="117">
        <f t="shared" si="58"/>
        <v>0</v>
      </c>
      <c r="L260" s="55"/>
      <c r="M260" s="106" t="s">
        <v>25</v>
      </c>
      <c r="N260" s="4"/>
      <c r="O260" s="4"/>
      <c r="P260" s="117">
        <f t="shared" si="62"/>
        <v>0</v>
      </c>
      <c r="Q260" s="117">
        <f t="shared" si="59"/>
        <v>0</v>
      </c>
      <c r="R260" s="117">
        <f t="shared" si="59"/>
        <v>0</v>
      </c>
      <c r="S260" s="117">
        <f t="shared" si="59"/>
        <v>0</v>
      </c>
      <c r="T260" s="117">
        <f t="shared" si="59"/>
        <v>0</v>
      </c>
      <c r="U260" s="117">
        <f t="shared" si="59"/>
        <v>0</v>
      </c>
      <c r="V260" s="55"/>
      <c r="W260" s="106" t="s">
        <v>25</v>
      </c>
      <c r="X260" s="4"/>
      <c r="Y260" s="4"/>
      <c r="Z260" s="117">
        <f t="shared" si="63"/>
        <v>0</v>
      </c>
      <c r="AA260" s="117">
        <f t="shared" si="60"/>
        <v>0</v>
      </c>
      <c r="AB260" s="117">
        <f t="shared" si="60"/>
        <v>0</v>
      </c>
      <c r="AC260" s="117">
        <f t="shared" si="60"/>
        <v>0</v>
      </c>
      <c r="AD260" s="117">
        <f t="shared" si="60"/>
        <v>0</v>
      </c>
      <c r="AE260" s="117">
        <f t="shared" si="60"/>
        <v>0</v>
      </c>
      <c r="AF260" s="106" t="s">
        <v>34</v>
      </c>
      <c r="AG260" s="4" t="s">
        <v>21</v>
      </c>
      <c r="AH260" s="119" t="s">
        <v>596</v>
      </c>
      <c r="AI260" s="107">
        <v>31.2</v>
      </c>
      <c r="AJ260" s="107">
        <v>24</v>
      </c>
      <c r="AK260" s="107">
        <v>39.6</v>
      </c>
      <c r="AL260" s="107">
        <v>1.8</v>
      </c>
      <c r="AM260" s="107">
        <v>6</v>
      </c>
      <c r="AN260" s="108">
        <v>12740</v>
      </c>
    </row>
    <row r="261" spans="2:40" hidden="1" x14ac:dyDescent="0.15">
      <c r="B261" s="57">
        <v>4</v>
      </c>
      <c r="C261" s="106" t="s">
        <v>26</v>
      </c>
      <c r="D261" s="4"/>
      <c r="E261" s="4"/>
      <c r="F261" s="117">
        <f t="shared" si="61"/>
        <v>0</v>
      </c>
      <c r="G261" s="117">
        <f t="shared" si="58"/>
        <v>0</v>
      </c>
      <c r="H261" s="117">
        <f t="shared" si="58"/>
        <v>0</v>
      </c>
      <c r="I261" s="117">
        <f t="shared" si="58"/>
        <v>0</v>
      </c>
      <c r="J261" s="117">
        <f t="shared" si="58"/>
        <v>0</v>
      </c>
      <c r="K261" s="117">
        <f t="shared" si="58"/>
        <v>0</v>
      </c>
      <c r="L261" s="55"/>
      <c r="M261" s="106" t="s">
        <v>26</v>
      </c>
      <c r="N261" s="4"/>
      <c r="O261" s="4"/>
      <c r="P261" s="117">
        <f t="shared" si="62"/>
        <v>0</v>
      </c>
      <c r="Q261" s="117">
        <f t="shared" si="59"/>
        <v>0</v>
      </c>
      <c r="R261" s="117">
        <f t="shared" si="59"/>
        <v>0</v>
      </c>
      <c r="S261" s="117">
        <f t="shared" si="59"/>
        <v>0</v>
      </c>
      <c r="T261" s="117">
        <f t="shared" si="59"/>
        <v>0</v>
      </c>
      <c r="U261" s="117">
        <f t="shared" si="59"/>
        <v>0</v>
      </c>
      <c r="V261" s="55"/>
      <c r="W261" s="106" t="s">
        <v>26</v>
      </c>
      <c r="X261" s="4"/>
      <c r="Y261" s="4"/>
      <c r="Z261" s="117">
        <f t="shared" si="63"/>
        <v>0</v>
      </c>
      <c r="AA261" s="117">
        <f t="shared" si="60"/>
        <v>0</v>
      </c>
      <c r="AB261" s="117">
        <f t="shared" si="60"/>
        <v>0</v>
      </c>
      <c r="AC261" s="117">
        <f t="shared" si="60"/>
        <v>0</v>
      </c>
      <c r="AD261" s="117">
        <f t="shared" si="60"/>
        <v>0</v>
      </c>
      <c r="AE261" s="117">
        <f t="shared" si="60"/>
        <v>0</v>
      </c>
      <c r="AF261" s="106"/>
      <c r="AG261" s="4"/>
      <c r="AH261" s="119"/>
      <c r="AI261" s="107"/>
      <c r="AJ261" s="107"/>
      <c r="AK261" s="107"/>
      <c r="AL261" s="107"/>
      <c r="AM261" s="107"/>
      <c r="AN261" s="108"/>
    </row>
    <row r="262" spans="2:40" hidden="1" x14ac:dyDescent="0.15">
      <c r="B262" s="57">
        <v>5</v>
      </c>
      <c r="C262" s="106" t="s">
        <v>27</v>
      </c>
      <c r="D262" s="4"/>
      <c r="E262" s="4"/>
      <c r="F262" s="117">
        <f t="shared" si="61"/>
        <v>0</v>
      </c>
      <c r="G262" s="117">
        <f t="shared" si="58"/>
        <v>0</v>
      </c>
      <c r="H262" s="117">
        <f t="shared" si="58"/>
        <v>0</v>
      </c>
      <c r="I262" s="117">
        <f t="shared" si="58"/>
        <v>0</v>
      </c>
      <c r="J262" s="117">
        <f t="shared" si="58"/>
        <v>0</v>
      </c>
      <c r="K262" s="117">
        <f t="shared" si="58"/>
        <v>0</v>
      </c>
      <c r="L262" s="55"/>
      <c r="M262" s="106" t="s">
        <v>27</v>
      </c>
      <c r="N262" s="4"/>
      <c r="O262" s="4"/>
      <c r="P262" s="117">
        <f t="shared" si="62"/>
        <v>0</v>
      </c>
      <c r="Q262" s="117">
        <f t="shared" si="59"/>
        <v>0</v>
      </c>
      <c r="R262" s="117">
        <f t="shared" si="59"/>
        <v>0</v>
      </c>
      <c r="S262" s="117">
        <f t="shared" si="59"/>
        <v>0</v>
      </c>
      <c r="T262" s="117">
        <f t="shared" si="59"/>
        <v>0</v>
      </c>
      <c r="U262" s="117">
        <f t="shared" si="59"/>
        <v>0</v>
      </c>
      <c r="V262" s="55"/>
      <c r="W262" s="106" t="s">
        <v>27</v>
      </c>
      <c r="X262" s="4"/>
      <c r="Y262" s="4"/>
      <c r="Z262" s="117">
        <f t="shared" si="63"/>
        <v>0</v>
      </c>
      <c r="AA262" s="117">
        <f t="shared" si="60"/>
        <v>0</v>
      </c>
      <c r="AB262" s="117">
        <f t="shared" si="60"/>
        <v>0</v>
      </c>
      <c r="AC262" s="117">
        <f t="shared" si="60"/>
        <v>0</v>
      </c>
      <c r="AD262" s="117">
        <f t="shared" si="60"/>
        <v>0</v>
      </c>
      <c r="AE262" s="117">
        <f t="shared" si="60"/>
        <v>0</v>
      </c>
      <c r="AF262" s="106"/>
      <c r="AG262" s="4"/>
      <c r="AH262" s="119"/>
      <c r="AI262" s="107"/>
      <c r="AJ262" s="107"/>
      <c r="AK262" s="107"/>
      <c r="AL262" s="107"/>
      <c r="AM262" s="107"/>
      <c r="AN262" s="108"/>
    </row>
    <row r="263" spans="2:40" hidden="1" x14ac:dyDescent="0.15">
      <c r="B263" s="57">
        <v>6</v>
      </c>
      <c r="C263" s="106" t="s">
        <v>28</v>
      </c>
      <c r="D263" s="4"/>
      <c r="E263" s="4"/>
      <c r="F263" s="117">
        <f t="shared" si="61"/>
        <v>0</v>
      </c>
      <c r="G263" s="117">
        <f t="shared" si="58"/>
        <v>0</v>
      </c>
      <c r="H263" s="117">
        <f t="shared" si="58"/>
        <v>0</v>
      </c>
      <c r="I263" s="117">
        <f t="shared" si="58"/>
        <v>0</v>
      </c>
      <c r="J263" s="117">
        <f t="shared" si="58"/>
        <v>0</v>
      </c>
      <c r="K263" s="117">
        <f t="shared" si="58"/>
        <v>0</v>
      </c>
      <c r="L263" s="55"/>
      <c r="M263" s="106" t="s">
        <v>28</v>
      </c>
      <c r="N263" s="4"/>
      <c r="O263" s="4"/>
      <c r="P263" s="117">
        <f t="shared" si="62"/>
        <v>0</v>
      </c>
      <c r="Q263" s="117">
        <f t="shared" si="59"/>
        <v>0</v>
      </c>
      <c r="R263" s="117">
        <f t="shared" si="59"/>
        <v>0</v>
      </c>
      <c r="S263" s="117">
        <f t="shared" si="59"/>
        <v>0</v>
      </c>
      <c r="T263" s="117">
        <f t="shared" si="59"/>
        <v>0</v>
      </c>
      <c r="U263" s="117">
        <f t="shared" si="59"/>
        <v>0</v>
      </c>
      <c r="V263" s="55"/>
      <c r="W263" s="106" t="s">
        <v>28</v>
      </c>
      <c r="X263" s="4"/>
      <c r="Y263" s="4"/>
      <c r="Z263" s="117">
        <f t="shared" si="63"/>
        <v>0</v>
      </c>
      <c r="AA263" s="117">
        <f t="shared" si="60"/>
        <v>0</v>
      </c>
      <c r="AB263" s="117">
        <f t="shared" si="60"/>
        <v>0</v>
      </c>
      <c r="AC263" s="117">
        <f t="shared" si="60"/>
        <v>0</v>
      </c>
      <c r="AD263" s="117">
        <f t="shared" si="60"/>
        <v>0</v>
      </c>
      <c r="AE263" s="117">
        <f t="shared" si="60"/>
        <v>0</v>
      </c>
      <c r="AF263" s="106"/>
      <c r="AG263" s="4"/>
      <c r="AH263" s="119"/>
      <c r="AI263" s="107"/>
      <c r="AJ263" s="107"/>
      <c r="AK263" s="107"/>
      <c r="AL263" s="107"/>
      <c r="AM263" s="107"/>
      <c r="AN263" s="108"/>
    </row>
    <row r="264" spans="2:40" hidden="1" x14ac:dyDescent="0.15">
      <c r="B264" s="57">
        <v>7</v>
      </c>
      <c r="C264" s="106" t="s">
        <v>585</v>
      </c>
      <c r="D264" s="4"/>
      <c r="E264" s="4"/>
      <c r="F264" s="117">
        <f t="shared" si="61"/>
        <v>0</v>
      </c>
      <c r="G264" s="117">
        <f t="shared" si="58"/>
        <v>0</v>
      </c>
      <c r="H264" s="117">
        <f t="shared" si="58"/>
        <v>0</v>
      </c>
      <c r="I264" s="117">
        <f t="shared" si="58"/>
        <v>0</v>
      </c>
      <c r="J264" s="117">
        <f t="shared" si="58"/>
        <v>0</v>
      </c>
      <c r="K264" s="117">
        <f t="shared" si="58"/>
        <v>0</v>
      </c>
      <c r="L264" s="55"/>
      <c r="M264" s="106" t="s">
        <v>29</v>
      </c>
      <c r="N264" s="4"/>
      <c r="O264" s="4"/>
      <c r="P264" s="117">
        <f t="shared" si="62"/>
        <v>0</v>
      </c>
      <c r="Q264" s="117">
        <f t="shared" si="59"/>
        <v>0</v>
      </c>
      <c r="R264" s="117">
        <f t="shared" si="59"/>
        <v>0</v>
      </c>
      <c r="S264" s="117">
        <f t="shared" si="59"/>
        <v>0</v>
      </c>
      <c r="T264" s="117">
        <f t="shared" si="59"/>
        <v>0</v>
      </c>
      <c r="U264" s="117">
        <f t="shared" si="59"/>
        <v>0</v>
      </c>
      <c r="V264" s="55"/>
      <c r="W264" s="106" t="s">
        <v>29</v>
      </c>
      <c r="X264" s="4"/>
      <c r="Y264" s="4"/>
      <c r="Z264" s="117">
        <f t="shared" si="63"/>
        <v>0</v>
      </c>
      <c r="AA264" s="117">
        <f t="shared" si="60"/>
        <v>0</v>
      </c>
      <c r="AB264" s="117">
        <f t="shared" si="60"/>
        <v>0</v>
      </c>
      <c r="AC264" s="117">
        <f t="shared" si="60"/>
        <v>0</v>
      </c>
      <c r="AD264" s="117">
        <f t="shared" si="60"/>
        <v>0</v>
      </c>
      <c r="AE264" s="117">
        <f t="shared" si="60"/>
        <v>0</v>
      </c>
      <c r="AF264" s="106"/>
      <c r="AG264" s="4"/>
      <c r="AH264" s="119"/>
      <c r="AI264" s="107"/>
      <c r="AJ264" s="107"/>
      <c r="AK264" s="107"/>
      <c r="AL264" s="107"/>
      <c r="AM264" s="107"/>
      <c r="AN264" s="108"/>
    </row>
    <row r="265" spans="2:40" ht="15" hidden="1" thickBot="1" x14ac:dyDescent="0.2">
      <c r="B265" s="57">
        <v>8</v>
      </c>
      <c r="C265" s="106" t="s">
        <v>30</v>
      </c>
      <c r="D265" s="4"/>
      <c r="E265" s="4"/>
      <c r="F265" s="117">
        <f t="shared" si="61"/>
        <v>0</v>
      </c>
      <c r="G265" s="117">
        <f t="shared" si="58"/>
        <v>0</v>
      </c>
      <c r="H265" s="117">
        <f t="shared" si="58"/>
        <v>0</v>
      </c>
      <c r="I265" s="117">
        <f t="shared" si="58"/>
        <v>0</v>
      </c>
      <c r="J265" s="117">
        <f t="shared" si="58"/>
        <v>0</v>
      </c>
      <c r="K265" s="117">
        <f t="shared" si="58"/>
        <v>0</v>
      </c>
      <c r="L265" s="55"/>
      <c r="M265" s="106" t="s">
        <v>30</v>
      </c>
      <c r="N265" s="4"/>
      <c r="O265" s="4"/>
      <c r="P265" s="117">
        <f t="shared" si="62"/>
        <v>0</v>
      </c>
      <c r="Q265" s="117">
        <f t="shared" si="59"/>
        <v>0</v>
      </c>
      <c r="R265" s="117">
        <f t="shared" si="59"/>
        <v>0</v>
      </c>
      <c r="S265" s="117">
        <f t="shared" si="59"/>
        <v>0</v>
      </c>
      <c r="T265" s="117">
        <f t="shared" si="59"/>
        <v>0</v>
      </c>
      <c r="U265" s="117">
        <f t="shared" si="59"/>
        <v>0</v>
      </c>
      <c r="V265" s="55"/>
      <c r="W265" s="106" t="s">
        <v>30</v>
      </c>
      <c r="X265" s="4"/>
      <c r="Y265" s="4"/>
      <c r="Z265" s="117">
        <f t="shared" si="63"/>
        <v>0</v>
      </c>
      <c r="AA265" s="117">
        <f t="shared" si="60"/>
        <v>0</v>
      </c>
      <c r="AB265" s="117">
        <f t="shared" si="60"/>
        <v>0</v>
      </c>
      <c r="AC265" s="117">
        <f t="shared" si="60"/>
        <v>0</v>
      </c>
      <c r="AD265" s="117">
        <f t="shared" si="60"/>
        <v>0</v>
      </c>
      <c r="AE265" s="117">
        <f t="shared" si="60"/>
        <v>0</v>
      </c>
      <c r="AF265" s="109"/>
      <c r="AG265" s="4"/>
      <c r="AH265" s="119"/>
      <c r="AI265" s="111"/>
      <c r="AJ265" s="111"/>
      <c r="AK265" s="111"/>
      <c r="AL265" s="111"/>
      <c r="AM265" s="111"/>
      <c r="AN265" s="112"/>
    </row>
    <row r="266" spans="2:40" hidden="1" x14ac:dyDescent="0.15">
      <c r="B266" s="57">
        <v>9</v>
      </c>
      <c r="C266" s="106" t="s">
        <v>31</v>
      </c>
      <c r="D266" s="4"/>
      <c r="E266" s="4"/>
      <c r="F266" s="117">
        <f t="shared" si="61"/>
        <v>0</v>
      </c>
      <c r="G266" s="117">
        <f t="shared" si="58"/>
        <v>0</v>
      </c>
      <c r="H266" s="117">
        <f t="shared" si="58"/>
        <v>0</v>
      </c>
      <c r="I266" s="117">
        <f t="shared" si="58"/>
        <v>0</v>
      </c>
      <c r="J266" s="117">
        <f t="shared" si="58"/>
        <v>0</v>
      </c>
      <c r="K266" s="117">
        <f t="shared" si="58"/>
        <v>0</v>
      </c>
      <c r="L266" s="55"/>
      <c r="M266" s="106" t="s">
        <v>31</v>
      </c>
      <c r="N266" s="4"/>
      <c r="O266" s="4"/>
      <c r="P266" s="117">
        <f t="shared" si="62"/>
        <v>0</v>
      </c>
      <c r="Q266" s="117">
        <f t="shared" si="59"/>
        <v>0</v>
      </c>
      <c r="R266" s="117">
        <f t="shared" si="59"/>
        <v>0</v>
      </c>
      <c r="S266" s="117">
        <f t="shared" si="59"/>
        <v>0</v>
      </c>
      <c r="T266" s="117">
        <f t="shared" si="59"/>
        <v>0</v>
      </c>
      <c r="U266" s="117">
        <f t="shared" si="59"/>
        <v>0</v>
      </c>
      <c r="V266" s="55"/>
      <c r="W266" s="106" t="s">
        <v>31</v>
      </c>
      <c r="X266" s="4"/>
      <c r="Y266" s="4"/>
      <c r="Z266" s="117">
        <f t="shared" si="63"/>
        <v>0</v>
      </c>
      <c r="AA266" s="117">
        <f t="shared" si="60"/>
        <v>0</v>
      </c>
      <c r="AB266" s="117">
        <f t="shared" si="60"/>
        <v>0</v>
      </c>
      <c r="AC266" s="117">
        <f t="shared" si="60"/>
        <v>0</v>
      </c>
      <c r="AD266" s="117">
        <f t="shared" si="60"/>
        <v>0</v>
      </c>
      <c r="AE266" s="117">
        <f t="shared" si="60"/>
        <v>0</v>
      </c>
      <c r="AG266" s="2"/>
      <c r="AH266" s="2"/>
    </row>
    <row r="267" spans="2:40" ht="15" hidden="1" thickBot="1" x14ac:dyDescent="0.2">
      <c r="B267" s="57">
        <v>10</v>
      </c>
      <c r="C267" s="106" t="s">
        <v>586</v>
      </c>
      <c r="D267" s="4"/>
      <c r="E267" s="4"/>
      <c r="F267" s="117">
        <f t="shared" si="61"/>
        <v>0</v>
      </c>
      <c r="G267" s="117">
        <f t="shared" si="58"/>
        <v>0</v>
      </c>
      <c r="H267" s="117">
        <f t="shared" si="58"/>
        <v>0</v>
      </c>
      <c r="I267" s="117">
        <f t="shared" si="58"/>
        <v>0</v>
      </c>
      <c r="J267" s="117">
        <f t="shared" si="58"/>
        <v>0</v>
      </c>
      <c r="K267" s="117">
        <f t="shared" si="58"/>
        <v>0</v>
      </c>
      <c r="L267" s="55"/>
      <c r="M267" s="106" t="s">
        <v>32</v>
      </c>
      <c r="N267" s="4"/>
      <c r="O267" s="4"/>
      <c r="P267" s="117">
        <f t="shared" si="62"/>
        <v>0</v>
      </c>
      <c r="Q267" s="117">
        <f t="shared" si="59"/>
        <v>0</v>
      </c>
      <c r="R267" s="117">
        <f t="shared" si="59"/>
        <v>0</v>
      </c>
      <c r="S267" s="117">
        <f t="shared" si="59"/>
        <v>0</v>
      </c>
      <c r="T267" s="117">
        <f t="shared" si="59"/>
        <v>0</v>
      </c>
      <c r="U267" s="117">
        <f t="shared" si="59"/>
        <v>0</v>
      </c>
      <c r="V267" s="55"/>
      <c r="W267" s="106" t="s">
        <v>32</v>
      </c>
      <c r="X267" s="4"/>
      <c r="Y267" s="4"/>
      <c r="Z267" s="117">
        <f t="shared" si="63"/>
        <v>0</v>
      </c>
      <c r="AA267" s="117">
        <f t="shared" si="60"/>
        <v>0</v>
      </c>
      <c r="AB267" s="117">
        <f t="shared" si="60"/>
        <v>0</v>
      </c>
      <c r="AC267" s="117">
        <f t="shared" si="60"/>
        <v>0</v>
      </c>
      <c r="AD267" s="117">
        <f t="shared" si="60"/>
        <v>0</v>
      </c>
      <c r="AE267" s="117">
        <f t="shared" si="60"/>
        <v>0</v>
      </c>
      <c r="AF267" s="99" t="s">
        <v>538</v>
      </c>
      <c r="AG267" s="23"/>
      <c r="AH267" s="9" t="s">
        <v>603</v>
      </c>
      <c r="AI267" s="9"/>
      <c r="AJ267" s="23"/>
      <c r="AK267" s="23"/>
      <c r="AL267" s="23"/>
      <c r="AM267" s="23"/>
      <c r="AN267" s="23"/>
    </row>
    <row r="268" spans="2:40" hidden="1" x14ac:dyDescent="0.15">
      <c r="B268" s="57">
        <v>11</v>
      </c>
      <c r="C268" s="106" t="s">
        <v>33</v>
      </c>
      <c r="D268" s="4"/>
      <c r="E268" s="4"/>
      <c r="F268" s="117">
        <f t="shared" si="61"/>
        <v>0</v>
      </c>
      <c r="G268" s="117">
        <f t="shared" si="58"/>
        <v>0</v>
      </c>
      <c r="H268" s="117">
        <f t="shared" si="58"/>
        <v>0</v>
      </c>
      <c r="I268" s="117">
        <f t="shared" si="58"/>
        <v>0</v>
      </c>
      <c r="J268" s="117">
        <f t="shared" si="58"/>
        <v>0</v>
      </c>
      <c r="K268" s="117">
        <f t="shared" si="58"/>
        <v>0</v>
      </c>
      <c r="L268" s="55"/>
      <c r="M268" s="106" t="s">
        <v>33</v>
      </c>
      <c r="N268" s="4"/>
      <c r="O268" s="4"/>
      <c r="P268" s="117">
        <f t="shared" si="62"/>
        <v>0</v>
      </c>
      <c r="Q268" s="117">
        <f t="shared" si="59"/>
        <v>0</v>
      </c>
      <c r="R268" s="117">
        <f t="shared" si="59"/>
        <v>0</v>
      </c>
      <c r="S268" s="117">
        <f t="shared" si="59"/>
        <v>0</v>
      </c>
      <c r="T268" s="117">
        <f t="shared" si="59"/>
        <v>0</v>
      </c>
      <c r="U268" s="117">
        <f t="shared" si="59"/>
        <v>0</v>
      </c>
      <c r="V268" s="55"/>
      <c r="W268" s="106" t="s">
        <v>33</v>
      </c>
      <c r="X268" s="4"/>
      <c r="Y268" s="4"/>
      <c r="Z268" s="117">
        <f t="shared" si="63"/>
        <v>0</v>
      </c>
      <c r="AA268" s="117">
        <f t="shared" si="60"/>
        <v>0</v>
      </c>
      <c r="AB268" s="117">
        <f t="shared" si="60"/>
        <v>0</v>
      </c>
      <c r="AC268" s="117">
        <f t="shared" si="60"/>
        <v>0</v>
      </c>
      <c r="AD268" s="117">
        <f t="shared" si="60"/>
        <v>0</v>
      </c>
      <c r="AE268" s="117">
        <f t="shared" si="60"/>
        <v>0</v>
      </c>
      <c r="AF268" s="1442" t="s">
        <v>15</v>
      </c>
      <c r="AG268" s="1437" t="s">
        <v>16</v>
      </c>
      <c r="AH268" s="1446" t="s">
        <v>17</v>
      </c>
      <c r="AI268" s="1437" t="s">
        <v>19</v>
      </c>
      <c r="AJ268" s="1437"/>
      <c r="AK268" s="1437"/>
      <c r="AL268" s="1437"/>
      <c r="AM268" s="1438"/>
      <c r="AN268" s="1439"/>
    </row>
    <row r="269" spans="2:40" hidden="1" x14ac:dyDescent="0.15">
      <c r="B269" s="57">
        <v>12</v>
      </c>
      <c r="C269" s="106" t="s">
        <v>34</v>
      </c>
      <c r="D269" s="4"/>
      <c r="E269" s="4"/>
      <c r="F269" s="117">
        <f t="shared" si="61"/>
        <v>0</v>
      </c>
      <c r="G269" s="117">
        <f t="shared" si="58"/>
        <v>0</v>
      </c>
      <c r="H269" s="117">
        <f t="shared" si="58"/>
        <v>0</v>
      </c>
      <c r="I269" s="117">
        <f t="shared" si="58"/>
        <v>0</v>
      </c>
      <c r="J269" s="117">
        <f t="shared" si="58"/>
        <v>0</v>
      </c>
      <c r="K269" s="117">
        <f t="shared" si="58"/>
        <v>0</v>
      </c>
      <c r="L269" s="55"/>
      <c r="M269" s="106" t="s">
        <v>34</v>
      </c>
      <c r="N269" s="4"/>
      <c r="O269" s="4"/>
      <c r="P269" s="117">
        <f t="shared" si="62"/>
        <v>0</v>
      </c>
      <c r="Q269" s="117">
        <f t="shared" si="59"/>
        <v>0</v>
      </c>
      <c r="R269" s="117">
        <f t="shared" si="59"/>
        <v>0</v>
      </c>
      <c r="S269" s="117">
        <f t="shared" si="59"/>
        <v>0</v>
      </c>
      <c r="T269" s="117">
        <f t="shared" si="59"/>
        <v>0</v>
      </c>
      <c r="U269" s="117">
        <f t="shared" si="59"/>
        <v>0</v>
      </c>
      <c r="V269" s="55"/>
      <c r="W269" s="106" t="s">
        <v>34</v>
      </c>
      <c r="X269" s="4"/>
      <c r="Y269" s="4"/>
      <c r="Z269" s="117">
        <f t="shared" si="63"/>
        <v>0</v>
      </c>
      <c r="AA269" s="117">
        <f t="shared" si="60"/>
        <v>0</v>
      </c>
      <c r="AB269" s="117">
        <f t="shared" si="60"/>
        <v>0</v>
      </c>
      <c r="AC269" s="117">
        <f t="shared" si="60"/>
        <v>0</v>
      </c>
      <c r="AD269" s="117">
        <f t="shared" si="60"/>
        <v>0</v>
      </c>
      <c r="AE269" s="117">
        <f t="shared" si="60"/>
        <v>0</v>
      </c>
      <c r="AF269" s="1443"/>
      <c r="AG269" s="1444"/>
      <c r="AH269" s="1444"/>
      <c r="AI269" s="733" t="s">
        <v>575</v>
      </c>
      <c r="AJ269" s="733" t="s">
        <v>576</v>
      </c>
      <c r="AK269" s="733" t="s">
        <v>577</v>
      </c>
      <c r="AL269" s="733" t="s">
        <v>578</v>
      </c>
      <c r="AM269" s="733" t="s">
        <v>579</v>
      </c>
      <c r="AN269" s="100" t="s">
        <v>580</v>
      </c>
    </row>
    <row r="270" spans="2:40" ht="15" hidden="1" thickBot="1" x14ac:dyDescent="0.2">
      <c r="B270" s="57">
        <v>13</v>
      </c>
      <c r="C270" s="106" t="s">
        <v>35</v>
      </c>
      <c r="D270" s="4"/>
      <c r="E270" s="4"/>
      <c r="F270" s="117">
        <f t="shared" si="61"/>
        <v>0</v>
      </c>
      <c r="G270" s="117">
        <f t="shared" si="58"/>
        <v>0</v>
      </c>
      <c r="H270" s="117">
        <f t="shared" si="58"/>
        <v>0</v>
      </c>
      <c r="I270" s="117">
        <f t="shared" si="58"/>
        <v>0</v>
      </c>
      <c r="J270" s="117">
        <f t="shared" si="58"/>
        <v>0</v>
      </c>
      <c r="K270" s="117">
        <f t="shared" si="58"/>
        <v>0</v>
      </c>
      <c r="L270" s="55"/>
      <c r="M270" s="106" t="s">
        <v>35</v>
      </c>
      <c r="N270" s="4"/>
      <c r="O270" s="4"/>
      <c r="P270" s="117">
        <f t="shared" si="62"/>
        <v>0</v>
      </c>
      <c r="Q270" s="117">
        <f t="shared" si="59"/>
        <v>0</v>
      </c>
      <c r="R270" s="117">
        <f t="shared" si="59"/>
        <v>0</v>
      </c>
      <c r="S270" s="117">
        <f t="shared" si="59"/>
        <v>0</v>
      </c>
      <c r="T270" s="117">
        <f t="shared" si="59"/>
        <v>0</v>
      </c>
      <c r="U270" s="117">
        <f t="shared" si="59"/>
        <v>0</v>
      </c>
      <c r="V270" s="55"/>
      <c r="W270" s="106" t="s">
        <v>35</v>
      </c>
      <c r="X270" s="4"/>
      <c r="Y270" s="4"/>
      <c r="Z270" s="117">
        <f t="shared" si="63"/>
        <v>0</v>
      </c>
      <c r="AA270" s="117">
        <f t="shared" si="60"/>
        <v>0</v>
      </c>
      <c r="AB270" s="117">
        <f t="shared" si="60"/>
        <v>0</v>
      </c>
      <c r="AC270" s="117">
        <f t="shared" si="60"/>
        <v>0</v>
      </c>
      <c r="AD270" s="117">
        <f t="shared" si="60"/>
        <v>0</v>
      </c>
      <c r="AE270" s="117">
        <f t="shared" si="60"/>
        <v>0</v>
      </c>
      <c r="AF270" s="101"/>
      <c r="AG270" s="1445"/>
      <c r="AH270" s="1447"/>
      <c r="AI270" s="734" t="s">
        <v>1</v>
      </c>
      <c r="AJ270" s="734" t="s">
        <v>3</v>
      </c>
      <c r="AK270" s="734" t="s">
        <v>2</v>
      </c>
      <c r="AL270" s="734" t="s">
        <v>4</v>
      </c>
      <c r="AM270" s="734" t="s">
        <v>244</v>
      </c>
      <c r="AN270" s="102" t="s">
        <v>20</v>
      </c>
    </row>
    <row r="271" spans="2:40" hidden="1" x14ac:dyDescent="0.15">
      <c r="B271" s="57">
        <v>14</v>
      </c>
      <c r="C271" s="106" t="s">
        <v>36</v>
      </c>
      <c r="D271" s="4"/>
      <c r="E271" s="4"/>
      <c r="F271" s="117">
        <f t="shared" si="61"/>
        <v>0</v>
      </c>
      <c r="G271" s="117">
        <f t="shared" si="58"/>
        <v>0</v>
      </c>
      <c r="H271" s="117">
        <f t="shared" si="58"/>
        <v>0</v>
      </c>
      <c r="I271" s="117">
        <f t="shared" si="58"/>
        <v>0</v>
      </c>
      <c r="J271" s="117">
        <f t="shared" si="58"/>
        <v>0</v>
      </c>
      <c r="K271" s="117">
        <f t="shared" si="58"/>
        <v>0</v>
      </c>
      <c r="L271" s="55"/>
      <c r="M271" s="106" t="s">
        <v>36</v>
      </c>
      <c r="N271" s="4"/>
      <c r="O271" s="4"/>
      <c r="P271" s="117">
        <f t="shared" si="62"/>
        <v>0</v>
      </c>
      <c r="Q271" s="117">
        <f t="shared" si="59"/>
        <v>0</v>
      </c>
      <c r="R271" s="117">
        <f t="shared" si="59"/>
        <v>0</v>
      </c>
      <c r="S271" s="117">
        <f t="shared" si="59"/>
        <v>0</v>
      </c>
      <c r="T271" s="117">
        <f t="shared" si="59"/>
        <v>0</v>
      </c>
      <c r="U271" s="117">
        <f t="shared" si="59"/>
        <v>0</v>
      </c>
      <c r="V271" s="55"/>
      <c r="W271" s="106" t="s">
        <v>36</v>
      </c>
      <c r="X271" s="4"/>
      <c r="Y271" s="4"/>
      <c r="Z271" s="117">
        <f t="shared" si="63"/>
        <v>0</v>
      </c>
      <c r="AA271" s="117">
        <f t="shared" si="60"/>
        <v>0</v>
      </c>
      <c r="AB271" s="117">
        <f t="shared" si="60"/>
        <v>0</v>
      </c>
      <c r="AC271" s="117">
        <f t="shared" si="60"/>
        <v>0</v>
      </c>
      <c r="AD271" s="117">
        <f t="shared" si="60"/>
        <v>0</v>
      </c>
      <c r="AE271" s="117">
        <f t="shared" si="60"/>
        <v>0</v>
      </c>
      <c r="AF271" s="103" t="s">
        <v>23</v>
      </c>
      <c r="AG271" s="117" t="s">
        <v>21</v>
      </c>
      <c r="AH271" s="4" t="s">
        <v>604</v>
      </c>
      <c r="AI271" s="104">
        <v>41.4</v>
      </c>
      <c r="AJ271" s="104">
        <v>31.2</v>
      </c>
      <c r="AK271" s="104">
        <v>51.6</v>
      </c>
      <c r="AL271" s="104">
        <v>1.8</v>
      </c>
      <c r="AM271" s="104">
        <v>6</v>
      </c>
      <c r="AN271" s="108">
        <v>14700</v>
      </c>
    </row>
    <row r="272" spans="2:40" hidden="1" x14ac:dyDescent="0.15">
      <c r="B272" s="57">
        <v>15</v>
      </c>
      <c r="C272" s="106" t="s">
        <v>37</v>
      </c>
      <c r="D272" s="4"/>
      <c r="E272" s="4"/>
      <c r="F272" s="117">
        <f t="shared" si="61"/>
        <v>0</v>
      </c>
      <c r="G272" s="117">
        <f t="shared" si="58"/>
        <v>0</v>
      </c>
      <c r="H272" s="117">
        <f t="shared" si="58"/>
        <v>0</v>
      </c>
      <c r="I272" s="117">
        <f t="shared" si="58"/>
        <v>0</v>
      </c>
      <c r="J272" s="117">
        <f t="shared" si="58"/>
        <v>0</v>
      </c>
      <c r="K272" s="117">
        <f t="shared" si="58"/>
        <v>0</v>
      </c>
      <c r="L272" s="55"/>
      <c r="M272" s="106" t="s">
        <v>37</v>
      </c>
      <c r="N272" s="4"/>
      <c r="O272" s="4"/>
      <c r="P272" s="117">
        <f t="shared" si="62"/>
        <v>0</v>
      </c>
      <c r="Q272" s="117">
        <f t="shared" si="59"/>
        <v>0</v>
      </c>
      <c r="R272" s="117">
        <f t="shared" si="59"/>
        <v>0</v>
      </c>
      <c r="S272" s="117">
        <f t="shared" si="59"/>
        <v>0</v>
      </c>
      <c r="T272" s="117">
        <f t="shared" si="59"/>
        <v>0</v>
      </c>
      <c r="U272" s="117">
        <f t="shared" si="59"/>
        <v>0</v>
      </c>
      <c r="V272" s="55"/>
      <c r="W272" s="106" t="s">
        <v>37</v>
      </c>
      <c r="X272" s="4"/>
      <c r="Y272" s="4"/>
      <c r="Z272" s="117">
        <f t="shared" si="63"/>
        <v>0</v>
      </c>
      <c r="AA272" s="117">
        <f t="shared" si="60"/>
        <v>0</v>
      </c>
      <c r="AB272" s="117">
        <f t="shared" si="60"/>
        <v>0</v>
      </c>
      <c r="AC272" s="117">
        <f t="shared" si="60"/>
        <v>0</v>
      </c>
      <c r="AD272" s="117">
        <f t="shared" si="60"/>
        <v>0</v>
      </c>
      <c r="AE272" s="117">
        <f t="shared" si="60"/>
        <v>0</v>
      </c>
      <c r="AF272" s="106" t="s">
        <v>24</v>
      </c>
      <c r="AG272" s="4" t="s">
        <v>21</v>
      </c>
      <c r="AH272" s="4" t="s">
        <v>604</v>
      </c>
      <c r="AI272" s="107">
        <v>44.4</v>
      </c>
      <c r="AJ272" s="107">
        <v>33</v>
      </c>
      <c r="AK272" s="107">
        <v>55.2</v>
      </c>
      <c r="AL272" s="107">
        <v>2.1</v>
      </c>
      <c r="AM272" s="107">
        <v>7.8</v>
      </c>
      <c r="AN272" s="108">
        <v>14700</v>
      </c>
    </row>
    <row r="273" spans="2:40" hidden="1" x14ac:dyDescent="0.15">
      <c r="B273" s="57">
        <v>16</v>
      </c>
      <c r="C273" s="106" t="s">
        <v>38</v>
      </c>
      <c r="D273" s="4"/>
      <c r="E273" s="4"/>
      <c r="F273" s="117">
        <f t="shared" si="61"/>
        <v>0</v>
      </c>
      <c r="G273" s="117">
        <f t="shared" si="58"/>
        <v>0</v>
      </c>
      <c r="H273" s="117">
        <f t="shared" si="58"/>
        <v>0</v>
      </c>
      <c r="I273" s="117">
        <f t="shared" si="58"/>
        <v>0</v>
      </c>
      <c r="J273" s="117">
        <f t="shared" si="58"/>
        <v>0</v>
      </c>
      <c r="K273" s="117">
        <f t="shared" si="58"/>
        <v>0</v>
      </c>
      <c r="L273" s="55"/>
      <c r="M273" s="106" t="s">
        <v>38</v>
      </c>
      <c r="N273" s="4"/>
      <c r="O273" s="4"/>
      <c r="P273" s="117">
        <f t="shared" si="62"/>
        <v>0</v>
      </c>
      <c r="Q273" s="117">
        <f t="shared" si="59"/>
        <v>0</v>
      </c>
      <c r="R273" s="117">
        <f t="shared" si="59"/>
        <v>0</v>
      </c>
      <c r="S273" s="117">
        <f t="shared" si="59"/>
        <v>0</v>
      </c>
      <c r="T273" s="117">
        <f t="shared" si="59"/>
        <v>0</v>
      </c>
      <c r="U273" s="117">
        <f t="shared" si="59"/>
        <v>0</v>
      </c>
      <c r="V273" s="55"/>
      <c r="W273" s="106" t="s">
        <v>38</v>
      </c>
      <c r="X273" s="4"/>
      <c r="Y273" s="4"/>
      <c r="Z273" s="117">
        <f t="shared" si="63"/>
        <v>0</v>
      </c>
      <c r="AA273" s="117">
        <f t="shared" si="60"/>
        <v>0</v>
      </c>
      <c r="AB273" s="117">
        <f t="shared" si="60"/>
        <v>0</v>
      </c>
      <c r="AC273" s="117">
        <f t="shared" si="60"/>
        <v>0</v>
      </c>
      <c r="AD273" s="117">
        <f t="shared" si="60"/>
        <v>0</v>
      </c>
      <c r="AE273" s="117">
        <f t="shared" si="60"/>
        <v>0</v>
      </c>
      <c r="AF273" s="106" t="s">
        <v>25</v>
      </c>
      <c r="AG273" s="4" t="s">
        <v>21</v>
      </c>
      <c r="AH273" s="4" t="s">
        <v>603</v>
      </c>
      <c r="AI273" s="107">
        <v>39</v>
      </c>
      <c r="AJ273" s="107">
        <v>29.4</v>
      </c>
      <c r="AK273" s="107">
        <v>46.8</v>
      </c>
      <c r="AL273" s="107">
        <v>2.4</v>
      </c>
      <c r="AM273" s="107">
        <v>9</v>
      </c>
      <c r="AN273" s="108">
        <v>14700</v>
      </c>
    </row>
    <row r="274" spans="2:40" ht="15" hidden="1" thickBot="1" x14ac:dyDescent="0.2">
      <c r="B274" s="57">
        <v>17</v>
      </c>
      <c r="C274" s="109" t="s">
        <v>605</v>
      </c>
      <c r="D274" s="110"/>
      <c r="E274" s="110"/>
      <c r="F274" s="117">
        <f t="shared" si="61"/>
        <v>0</v>
      </c>
      <c r="G274" s="117">
        <f t="shared" ref="G274" si="64">IF($C$309=0,0,+IF($C$309=1,AJ23,IF($C$309=2,AJ45,IF($C$309=3,AJ67,IF($C$309=4,AJ89,IF($C$309=5,AJ111,IF($C$309=6,AJ133,IF($C$309=7,AJ155,IF($C$309=8,AJ177,IF($C$309=9,AJ199,IF($C$309=10,AJ221,IF($C$309=11,AJ243,IF($C$309=12,AJ265,IF($C$309=13,AJ287,0))))))))))))))</f>
        <v>0</v>
      </c>
      <c r="H274" s="117">
        <f t="shared" ref="H274" si="65">IF($C$309=0,0,+IF($C$309=1,AK23,IF($C$309=2,AK45,IF($C$309=3,AK67,IF($C$309=4,AK89,IF($C$309=5,AK111,IF($C$309=6,AK133,IF($C$309=7,AK155,IF($C$309=8,AK177,IF($C$309=9,AK199,IF($C$309=10,AK221,IF($C$309=11,AK243,IF($C$309=12,AK265,IF($C$309=13,AK287,0))))))))))))))</f>
        <v>0</v>
      </c>
      <c r="I274" s="117">
        <f t="shared" ref="I274" si="66">IF($C$309=0,0,+IF($C$309=1,AL23,IF($C$309=2,AL45,IF($C$309=3,AL67,IF($C$309=4,AL89,IF($C$309=5,AL111,IF($C$309=6,AL133,IF($C$309=7,AL155,IF($C$309=8,AL177,IF($C$309=9,AL199,IF($C$309=10,AL221,IF($C$309=11,AL243,IF($C$309=12,AL265,IF($C$309=13,AL287,0))))))))))))))</f>
        <v>0</v>
      </c>
      <c r="J274" s="117">
        <f t="shared" ref="J274" si="67">IF($C$309=0,0,+IF($C$309=1,AM23,IF($C$309=2,AM45,IF($C$309=3,AM67,IF($C$309=4,AM89,IF($C$309=5,AM111,IF($C$309=6,AM133,IF($C$309=7,AM155,IF($C$309=8,AM177,IF($C$309=9,AM199,IF($C$309=10,AM221,IF($C$309=11,AM243,IF($C$309=12,AM265,IF($C$309=13,AM287,0))))))))))))))</f>
        <v>0</v>
      </c>
      <c r="K274" s="117">
        <f t="shared" ref="K274" si="68">IF($C$309=0,0,+IF($C$309=1,AN23,IF($C$309=2,AN45,IF($C$309=3,AN67,IF($C$309=4,AN89,IF($C$309=5,AN111,IF($C$309=6,AN133,IF($C$309=7,AN155,IF($C$309=8,AN177,IF($C$309=9,AN199,IF($C$309=10,AN221,IF($C$309=11,AN243,IF($C$309=12,AN265,IF($C$309=13,AN287,0))))))))))))))</f>
        <v>0</v>
      </c>
      <c r="L274" s="55"/>
      <c r="M274" s="109" t="s">
        <v>277</v>
      </c>
      <c r="N274" s="110"/>
      <c r="O274" s="110"/>
      <c r="P274" s="117">
        <f t="shared" si="62"/>
        <v>0</v>
      </c>
      <c r="Q274" s="117">
        <f t="shared" ref="Q274" si="69">IF($D$309=0,0,+IF($D$309=1,AJ23,IF($D$309=2,AJ45,IF($D$309=3,AJ67,IF($D$309=4,AJ89,IF($D$309=5,AJ111,IF($D$309=6,AJ133,IF($D$309=7,AJ155,IF($D$309=8,AJ177,IF($D$309=9,AJ199,IF($D$309=10,AJ221,IF($D$309=11,AJ243,IF($D$309=12,AJ265,IF($D$309=13,AJ287,0))))))))))))))</f>
        <v>0</v>
      </c>
      <c r="R274" s="117">
        <f t="shared" ref="R274" si="70">IF($D$309=0,0,+IF($D$309=1,AK23,IF($D$309=2,AK45,IF($D$309=3,AK67,IF($D$309=4,AK89,IF($D$309=5,AK111,IF($D$309=6,AK133,IF($D$309=7,AK155,IF($D$309=8,AK177,IF($D$309=9,AK199,IF($D$309=10,AK221,IF($D$309=11,AK243,IF($D$309=12,AK265,IF($D$309=13,AK287,0))))))))))))))</f>
        <v>0</v>
      </c>
      <c r="S274" s="117">
        <f t="shared" ref="S274" si="71">IF($D$309=0,0,+IF($D$309=1,AL23,IF($D$309=2,AL45,IF($D$309=3,AL67,IF($D$309=4,AL89,IF($D$309=5,AL111,IF($D$309=6,AL133,IF($D$309=7,AL155,IF($D$309=8,AL177,IF($D$309=9,AL199,IF($D$309=10,AL221,IF($D$309=11,AL243,IF($D$309=12,AL265,IF($D$309=13,AL287,0))))))))))))))</f>
        <v>0</v>
      </c>
      <c r="T274" s="117">
        <f t="shared" ref="T274" si="72">IF($D$309=0,0,+IF($D$309=1,AM23,IF($D$309=2,AM45,IF($D$309=3,AM67,IF($D$309=4,AM89,IF($D$309=5,AM111,IF($D$309=6,AM133,IF($D$309=7,AM155,IF($D$309=8,AM177,IF($D$309=9,AM199,IF($D$309=10,AM221,IF($D$309=11,AM243,IF($D$309=12,AM265,IF($D$309=13,AM287,0))))))))))))))</f>
        <v>0</v>
      </c>
      <c r="U274" s="117">
        <f t="shared" ref="U274" si="73">IF($D$309=0,0,+IF($D$309=1,AN23,IF($D$309=2,AN45,IF($D$309=3,AN67,IF($D$309=4,AN89,IF($D$309=5,AN111,IF($D$309=6,AN133,IF($D$309=7,AN155,IF($D$309=8,AN177,IF($D$309=9,AN199,IF($D$309=10,AN221,IF($D$309=11,AN243,IF($D$309=12,AN265,IF($D$309=13,AN287,0))))))))))))))</f>
        <v>0</v>
      </c>
      <c r="V274" s="55"/>
      <c r="W274" s="109" t="s">
        <v>277</v>
      </c>
      <c r="X274" s="110"/>
      <c r="Y274" s="110"/>
      <c r="Z274" s="117">
        <f t="shared" si="63"/>
        <v>0</v>
      </c>
      <c r="AA274" s="117">
        <f t="shared" ref="AA274" si="74">IF($E$309=0,0,+IF($E$309=1,AJ23,IF($E$309=2,AJ45,IF($E$309=3,AJ67,IF($E$309=4,AJ89,IF($E$309=5,AJ111,IF($E$309=6,AJ133,IF($E$309=7,AJ155,IF($E$309=8,AJ177,IF($E$309=9,AJ199,IF($E$309=10,AJ221,IF($E$309=11,AJ243,IF($E$309=12,AJ265,IF($E$309=13,AJ287,0))))))))))))))</f>
        <v>0</v>
      </c>
      <c r="AB274" s="117">
        <f t="shared" ref="AB274" si="75">IF($E$309=0,0,+IF($E$309=1,AK23,IF($E$309=2,AK45,IF($E$309=3,AK67,IF($E$309=4,AK89,IF($E$309=5,AK111,IF($E$309=6,AK133,IF($E$309=7,AK155,IF($E$309=8,AK177,IF($E$309=9,AK199,IF($E$309=10,AK221,IF($E$309=11,AK243,IF($E$309=12,AK265,IF($E$309=13,AK287,0))))))))))))))</f>
        <v>0</v>
      </c>
      <c r="AC274" s="117">
        <f t="shared" ref="AC274" si="76">IF($E$309=0,0,+IF($E$309=1,AL23,IF($E$309=2,AL45,IF($E$309=3,AL67,IF($E$309=4,AL89,IF($E$309=5,AL111,IF($E$309=6,AL133,IF($E$309=7,AL155,IF($E$309=8,AL177,IF($E$309=9,AL199,IF($E$309=10,AL221,IF($E$309=11,AL243,IF($E$309=12,AL265,IF($E$309=13,AL287,0))))))))))))))</f>
        <v>0</v>
      </c>
      <c r="AD274" s="117">
        <f t="shared" ref="AD274" si="77">IF($E$309=0,0,+IF($E$309=1,AM23,IF($E$309=2,AM45,IF($E$309=3,AM67,IF($E$309=4,AM89,IF($E$309=5,AM111,IF($E$309=6,AM133,IF($E$309=7,AM155,IF($E$309=8,AM177,IF($E$309=9,AM199,IF($E$309=10,AM221,IF($E$309=11,AM243,IF($E$309=12,AM265,IF($E$309=13,AM287,0))))))))))))))</f>
        <v>0</v>
      </c>
      <c r="AE274" s="117">
        <f t="shared" ref="AE274" si="78">IF($E$309=0,0,+IF($E$309=1,AN23,IF($E$309=2,AN45,IF($E$309=3,AN67,IF($E$309=4,AN89,IF($E$309=5,AN111,IF($E$309=6,AN133,IF($E$309=7,AN155,IF($E$309=8,AN177,IF($E$309=9,AN199,IF($E$309=10,AN221,IF($E$309=11,AN243,IF($E$309=12,AN265,IF($E$309=13,AN287,0))))))))))))))</f>
        <v>0</v>
      </c>
      <c r="AF274" s="106" t="s">
        <v>26</v>
      </c>
      <c r="AG274" s="4" t="s">
        <v>21</v>
      </c>
      <c r="AH274" s="4" t="s">
        <v>606</v>
      </c>
      <c r="AI274" s="107">
        <v>39</v>
      </c>
      <c r="AJ274" s="107">
        <v>29.4</v>
      </c>
      <c r="AK274" s="107">
        <v>46.8</v>
      </c>
      <c r="AL274" s="107">
        <v>2.4</v>
      </c>
      <c r="AM274" s="107">
        <v>9</v>
      </c>
      <c r="AN274" s="108">
        <v>14700</v>
      </c>
    </row>
    <row r="275" spans="2:40" ht="15" hidden="1" thickBot="1" x14ac:dyDescent="0.2">
      <c r="B275" s="57"/>
      <c r="C275" s="99" t="s">
        <v>538</v>
      </c>
      <c r="D275" s="9"/>
      <c r="E275" s="23"/>
      <c r="F275" s="48"/>
      <c r="G275" s="47"/>
      <c r="H275" s="49"/>
      <c r="I275" s="50"/>
      <c r="J275" s="23"/>
      <c r="K275" s="51"/>
      <c r="L275" s="55"/>
      <c r="M275" s="55"/>
      <c r="N275" s="55"/>
      <c r="O275" s="55"/>
      <c r="P275" s="55"/>
      <c r="Q275" s="55"/>
      <c r="R275" s="55"/>
      <c r="S275" s="55"/>
      <c r="T275" s="55"/>
      <c r="U275" s="55"/>
      <c r="V275" s="55"/>
      <c r="W275" s="55"/>
      <c r="X275" s="55"/>
      <c r="Y275" s="55"/>
      <c r="Z275" s="55"/>
      <c r="AA275" s="55"/>
      <c r="AB275" s="55"/>
      <c r="AC275" s="55"/>
      <c r="AD275" s="55"/>
      <c r="AE275" s="3">
        <v>5</v>
      </c>
      <c r="AF275" s="106" t="s">
        <v>27</v>
      </c>
      <c r="AG275" s="4" t="s">
        <v>21</v>
      </c>
      <c r="AH275" s="4" t="s">
        <v>603</v>
      </c>
      <c r="AI275" s="107"/>
      <c r="AJ275" s="107"/>
      <c r="AK275" s="107"/>
      <c r="AL275" s="107"/>
      <c r="AM275" s="107"/>
      <c r="AN275" s="108"/>
    </row>
    <row r="276" spans="2:40" hidden="1" x14ac:dyDescent="0.15">
      <c r="B276" s="57"/>
      <c r="C276" s="120" t="s">
        <v>0</v>
      </c>
      <c r="D276" s="121"/>
      <c r="E276" s="1440" t="s">
        <v>40</v>
      </c>
      <c r="F276" s="731" t="s">
        <v>1</v>
      </c>
      <c r="G276" s="733" t="s">
        <v>576</v>
      </c>
      <c r="H276" s="733" t="s">
        <v>577</v>
      </c>
      <c r="I276" s="731" t="s">
        <v>4</v>
      </c>
      <c r="J276" s="731" t="s">
        <v>244</v>
      </c>
      <c r="K276" s="732" t="s">
        <v>20</v>
      </c>
      <c r="L276" s="741"/>
      <c r="M276" s="741"/>
      <c r="N276" s="741"/>
      <c r="O276" s="741"/>
      <c r="P276" s="741"/>
      <c r="Q276" s="741"/>
      <c r="R276" s="741"/>
      <c r="S276" s="741"/>
      <c r="T276" s="741"/>
      <c r="U276" s="741"/>
      <c r="V276" s="741"/>
      <c r="W276" s="741"/>
      <c r="X276" s="741"/>
      <c r="Y276" s="741"/>
      <c r="Z276" s="741"/>
      <c r="AA276" s="741"/>
      <c r="AB276" s="741"/>
      <c r="AC276" s="741"/>
      <c r="AD276" s="741"/>
      <c r="AE276" s="3">
        <v>6</v>
      </c>
      <c r="AF276" s="106" t="s">
        <v>28</v>
      </c>
      <c r="AG276" s="4" t="s">
        <v>21</v>
      </c>
      <c r="AH276" s="4" t="s">
        <v>606</v>
      </c>
      <c r="AI276" s="107">
        <v>44.4</v>
      </c>
      <c r="AJ276" s="107">
        <v>33</v>
      </c>
      <c r="AK276" s="107">
        <v>55.2</v>
      </c>
      <c r="AL276" s="107">
        <v>2.1</v>
      </c>
      <c r="AM276" s="107">
        <v>7.8</v>
      </c>
      <c r="AN276" s="108">
        <v>14700</v>
      </c>
    </row>
    <row r="277" spans="2:40" ht="15" hidden="1" thickBot="1" x14ac:dyDescent="0.2">
      <c r="B277" s="57"/>
      <c r="C277" s="122"/>
      <c r="D277" s="50"/>
      <c r="E277" s="1441"/>
      <c r="F277" s="123" t="s">
        <v>607</v>
      </c>
      <c r="G277" s="734" t="s">
        <v>3</v>
      </c>
      <c r="H277" s="734" t="s">
        <v>2</v>
      </c>
      <c r="I277" s="123" t="s">
        <v>600</v>
      </c>
      <c r="J277" s="734" t="s">
        <v>579</v>
      </c>
      <c r="K277" s="124" t="s">
        <v>601</v>
      </c>
      <c r="L277" s="7"/>
      <c r="M277" s="7"/>
      <c r="N277" s="7"/>
      <c r="O277" s="7"/>
      <c r="P277" s="7"/>
      <c r="Q277" s="7"/>
      <c r="R277" s="7"/>
      <c r="S277" s="7"/>
      <c r="T277" s="7"/>
      <c r="U277" s="7"/>
      <c r="V277" s="7"/>
      <c r="W277" s="7"/>
      <c r="X277" s="7"/>
      <c r="Y277" s="7"/>
      <c r="Z277" s="7"/>
      <c r="AA277" s="7"/>
      <c r="AB277" s="7"/>
      <c r="AC277" s="7"/>
      <c r="AD277" s="7"/>
      <c r="AE277" s="3">
        <v>7</v>
      </c>
      <c r="AF277" s="106" t="s">
        <v>608</v>
      </c>
      <c r="AG277" s="4" t="s">
        <v>21</v>
      </c>
      <c r="AH277" s="4" t="s">
        <v>604</v>
      </c>
      <c r="AI277" s="107">
        <v>44.4</v>
      </c>
      <c r="AJ277" s="107">
        <v>33</v>
      </c>
      <c r="AK277" s="107">
        <v>55.2</v>
      </c>
      <c r="AL277" s="107">
        <v>2.1</v>
      </c>
      <c r="AM277" s="107">
        <v>7.8</v>
      </c>
      <c r="AN277" s="108">
        <v>14700</v>
      </c>
    </row>
    <row r="278" spans="2:40" hidden="1" x14ac:dyDescent="0.15">
      <c r="B278" s="57">
        <v>1</v>
      </c>
      <c r="C278" s="103" t="s">
        <v>23</v>
      </c>
      <c r="D278" s="117"/>
      <c r="E278" s="117"/>
      <c r="F278" s="117">
        <f t="shared" ref="F278:F294" si="79">IF($C$309=0,0,+IF($C$309=7,AI139,IF($C$309=8,AI161,IF($C$309=9,AI183,IF($C$309=10,AI205,IF($C$309=11,AI227,IF($C$309=12,AI249,IF($C$309=13,AI271,0))))))))</f>
        <v>0</v>
      </c>
      <c r="G278" s="117">
        <f t="shared" ref="G278:G294" si="80">IF($C$309=0,0,+IF($C$309=7,AJ139,IF($C$309=8,AJ161,IF($C$309=9,AJ183,IF($C$309=10,AJ205,IF($C$309=11,AJ227,IF($C$309=12,AJ249,IF($C$309=13,AJ271,0))))))))</f>
        <v>0</v>
      </c>
      <c r="H278" s="117">
        <f t="shared" ref="H278:H294" si="81">IF($C$309=0,0,+IF($C$309=7,AK139,IF($C$309=8,AK161,IF($C$309=9,AK183,IF($C$309=10,AK205,IF($C$309=11,AK227,IF($C$309=12,AK249,IF($C$309=13,AK271,0))))))))</f>
        <v>0</v>
      </c>
      <c r="I278" s="117">
        <f t="shared" ref="I278:I294" si="82">IF($C$309=0,0,+IF($C$309=7,AL139,IF($C$309=8,AL161,IF($C$309=9,AL183,IF($C$309=10,AL205,IF($C$309=11,AL227,IF($C$309=12,AL249,IF($C$309=13,AL271,0))))))))</f>
        <v>0</v>
      </c>
      <c r="J278" s="117">
        <f t="shared" ref="J278:J294" si="83">IF($C$309=0,0,+IF($C$309=7,AM139,IF($C$309=8,AM161,IF($C$309=9,AM183,IF($C$309=10,AM205,IF($C$309=11,AM227,IF($C$309=12,AM249,IF($C$309=13,AM271,0))))))))</f>
        <v>0</v>
      </c>
      <c r="K278" s="117">
        <f t="shared" ref="K278:K294" si="84">IF($C$309=0,0,+IF($C$309=7,AN139,IF($C$309=8,AN161,IF($C$309=9,AN183,IF($C$309=10,AN205,IF($C$309=11,AN227,IF($C$309=12,AN249,IF($C$309=13,AN271,0))))))))</f>
        <v>0</v>
      </c>
      <c r="L278" s="55"/>
      <c r="M278" s="55"/>
      <c r="N278" s="55"/>
      <c r="O278" s="55"/>
      <c r="P278" s="55"/>
      <c r="Q278" s="55"/>
      <c r="R278" s="55"/>
      <c r="S278" s="55"/>
      <c r="T278" s="55"/>
      <c r="U278" s="55"/>
      <c r="V278" s="55"/>
      <c r="W278" s="55"/>
      <c r="X278" s="55"/>
      <c r="Y278" s="55"/>
      <c r="Z278" s="55"/>
      <c r="AA278" s="55"/>
      <c r="AB278" s="55"/>
      <c r="AC278" s="55"/>
      <c r="AD278" s="55"/>
      <c r="AE278" s="3">
        <v>8</v>
      </c>
      <c r="AF278" s="106" t="s">
        <v>30</v>
      </c>
      <c r="AG278" s="4" t="s">
        <v>21</v>
      </c>
      <c r="AH278" s="4" t="s">
        <v>604</v>
      </c>
      <c r="AI278" s="107"/>
      <c r="AJ278" s="107"/>
      <c r="AK278" s="107"/>
      <c r="AL278" s="107"/>
      <c r="AM278" s="107"/>
      <c r="AN278" s="108"/>
    </row>
    <row r="279" spans="2:40" hidden="1" x14ac:dyDescent="0.15">
      <c r="B279" s="57">
        <v>2</v>
      </c>
      <c r="C279" s="106" t="s">
        <v>24</v>
      </c>
      <c r="D279" s="4"/>
      <c r="E279" s="4"/>
      <c r="F279" s="117">
        <f t="shared" si="79"/>
        <v>0</v>
      </c>
      <c r="G279" s="117">
        <f t="shared" si="80"/>
        <v>0</v>
      </c>
      <c r="H279" s="117">
        <f t="shared" si="81"/>
        <v>0</v>
      </c>
      <c r="I279" s="117">
        <f t="shared" si="82"/>
        <v>0</v>
      </c>
      <c r="J279" s="117">
        <f t="shared" si="83"/>
        <v>0</v>
      </c>
      <c r="K279" s="117">
        <f t="shared" si="84"/>
        <v>0</v>
      </c>
      <c r="L279" s="55"/>
      <c r="M279" s="55"/>
      <c r="N279" s="55"/>
      <c r="O279" s="55"/>
      <c r="P279" s="55"/>
      <c r="Q279" s="55"/>
      <c r="R279" s="55"/>
      <c r="S279" s="55"/>
      <c r="T279" s="55"/>
      <c r="U279" s="55"/>
      <c r="V279" s="55"/>
      <c r="W279" s="55"/>
      <c r="X279" s="55"/>
      <c r="Y279" s="55"/>
      <c r="Z279" s="55"/>
      <c r="AA279" s="55"/>
      <c r="AB279" s="55"/>
      <c r="AC279" s="55"/>
      <c r="AD279" s="55"/>
      <c r="AE279" s="3">
        <v>9</v>
      </c>
      <c r="AF279" s="106" t="s">
        <v>31</v>
      </c>
      <c r="AG279" s="4" t="s">
        <v>21</v>
      </c>
      <c r="AH279" s="4" t="s">
        <v>603</v>
      </c>
      <c r="AI279" s="107">
        <v>39</v>
      </c>
      <c r="AJ279" s="107">
        <v>29.4</v>
      </c>
      <c r="AK279" s="107">
        <v>46.8</v>
      </c>
      <c r="AL279" s="107">
        <v>2.1</v>
      </c>
      <c r="AM279" s="107">
        <v>6</v>
      </c>
      <c r="AN279" s="108">
        <v>14700</v>
      </c>
    </row>
    <row r="280" spans="2:40" hidden="1" x14ac:dyDescent="0.15">
      <c r="B280" s="57">
        <v>3</v>
      </c>
      <c r="C280" s="106" t="s">
        <v>25</v>
      </c>
      <c r="D280" s="4"/>
      <c r="E280" s="4"/>
      <c r="F280" s="117">
        <f t="shared" si="79"/>
        <v>0</v>
      </c>
      <c r="G280" s="117">
        <f t="shared" si="80"/>
        <v>0</v>
      </c>
      <c r="H280" s="117">
        <f t="shared" si="81"/>
        <v>0</v>
      </c>
      <c r="I280" s="117">
        <f t="shared" si="82"/>
        <v>0</v>
      </c>
      <c r="J280" s="117">
        <f t="shared" si="83"/>
        <v>0</v>
      </c>
      <c r="K280" s="117">
        <f t="shared" si="84"/>
        <v>0</v>
      </c>
      <c r="L280" s="55"/>
      <c r="M280" s="55"/>
      <c r="N280" s="55"/>
      <c r="O280" s="55"/>
      <c r="P280" s="55"/>
      <c r="Q280" s="55"/>
      <c r="R280" s="55"/>
      <c r="S280" s="55"/>
      <c r="T280" s="55"/>
      <c r="U280" s="55"/>
      <c r="V280" s="55"/>
      <c r="W280" s="55"/>
      <c r="X280" s="55"/>
      <c r="Y280" s="55"/>
      <c r="Z280" s="55"/>
      <c r="AA280" s="55"/>
      <c r="AB280" s="55"/>
      <c r="AC280" s="55"/>
      <c r="AD280" s="55"/>
      <c r="AE280" s="3">
        <v>10</v>
      </c>
      <c r="AF280" s="106" t="s">
        <v>586</v>
      </c>
      <c r="AG280" s="4" t="s">
        <v>21</v>
      </c>
      <c r="AH280" s="4" t="s">
        <v>603</v>
      </c>
      <c r="AI280" s="107"/>
      <c r="AJ280" s="107"/>
      <c r="AK280" s="107"/>
      <c r="AL280" s="107"/>
      <c r="AM280" s="107"/>
      <c r="AN280" s="108"/>
    </row>
    <row r="281" spans="2:40" hidden="1" x14ac:dyDescent="0.15">
      <c r="B281" s="57">
        <v>4</v>
      </c>
      <c r="C281" s="106" t="s">
        <v>26</v>
      </c>
      <c r="D281" s="4"/>
      <c r="E281" s="4"/>
      <c r="F281" s="117">
        <f t="shared" si="79"/>
        <v>0</v>
      </c>
      <c r="G281" s="117">
        <f t="shared" si="80"/>
        <v>0</v>
      </c>
      <c r="H281" s="117">
        <f t="shared" si="81"/>
        <v>0</v>
      </c>
      <c r="I281" s="117">
        <f t="shared" si="82"/>
        <v>0</v>
      </c>
      <c r="J281" s="117">
        <f t="shared" si="83"/>
        <v>0</v>
      </c>
      <c r="K281" s="117">
        <f t="shared" si="84"/>
        <v>0</v>
      </c>
      <c r="L281" s="55"/>
      <c r="M281" s="55"/>
      <c r="N281" s="55"/>
      <c r="O281" s="55"/>
      <c r="P281" s="55"/>
      <c r="Q281" s="55"/>
      <c r="R281" s="55"/>
      <c r="S281" s="55"/>
      <c r="T281" s="55"/>
      <c r="U281" s="55"/>
      <c r="V281" s="55"/>
      <c r="W281" s="55"/>
      <c r="X281" s="55"/>
      <c r="Y281" s="55"/>
      <c r="Z281" s="55"/>
      <c r="AA281" s="55"/>
      <c r="AB281" s="55"/>
      <c r="AC281" s="55"/>
      <c r="AD281" s="55"/>
      <c r="AE281" s="3">
        <v>11</v>
      </c>
      <c r="AF281" s="106" t="s">
        <v>33</v>
      </c>
      <c r="AG281" s="4" t="s">
        <v>21</v>
      </c>
      <c r="AH281" s="4" t="s">
        <v>606</v>
      </c>
      <c r="AI281" s="107">
        <v>39</v>
      </c>
      <c r="AJ281" s="107">
        <v>29.4</v>
      </c>
      <c r="AK281" s="107">
        <v>46.8</v>
      </c>
      <c r="AL281" s="107">
        <v>1.8</v>
      </c>
      <c r="AM281" s="107">
        <v>6</v>
      </c>
      <c r="AN281" s="108">
        <v>14700</v>
      </c>
    </row>
    <row r="282" spans="2:40" hidden="1" x14ac:dyDescent="0.15">
      <c r="B282" s="57">
        <v>5</v>
      </c>
      <c r="C282" s="106" t="s">
        <v>27</v>
      </c>
      <c r="D282" s="4"/>
      <c r="E282" s="4"/>
      <c r="F282" s="117">
        <f t="shared" si="79"/>
        <v>0</v>
      </c>
      <c r="G282" s="117">
        <f t="shared" si="80"/>
        <v>0</v>
      </c>
      <c r="H282" s="117">
        <f t="shared" si="81"/>
        <v>0</v>
      </c>
      <c r="I282" s="117">
        <f t="shared" si="82"/>
        <v>0</v>
      </c>
      <c r="J282" s="117">
        <f t="shared" si="83"/>
        <v>0</v>
      </c>
      <c r="K282" s="117">
        <f t="shared" si="84"/>
        <v>0</v>
      </c>
      <c r="L282" s="55"/>
      <c r="M282" s="55"/>
      <c r="N282" s="55"/>
      <c r="O282" s="55"/>
      <c r="P282" s="55"/>
      <c r="Q282" s="55"/>
      <c r="R282" s="55"/>
      <c r="S282" s="55"/>
      <c r="T282" s="55"/>
      <c r="U282" s="55"/>
      <c r="V282" s="55"/>
      <c r="W282" s="55"/>
      <c r="X282" s="55"/>
      <c r="Y282" s="55"/>
      <c r="Z282" s="55"/>
      <c r="AA282" s="55"/>
      <c r="AB282" s="55"/>
      <c r="AC282" s="55"/>
      <c r="AD282" s="55"/>
      <c r="AE282" s="3">
        <v>12</v>
      </c>
      <c r="AF282" s="106" t="s">
        <v>34</v>
      </c>
      <c r="AG282" s="4" t="s">
        <v>21</v>
      </c>
      <c r="AH282" s="4" t="s">
        <v>604</v>
      </c>
      <c r="AI282" s="107">
        <v>39</v>
      </c>
      <c r="AJ282" s="107">
        <v>29.4</v>
      </c>
      <c r="AK282" s="107">
        <v>46.8</v>
      </c>
      <c r="AL282" s="107">
        <v>1.8</v>
      </c>
      <c r="AM282" s="107">
        <v>6</v>
      </c>
      <c r="AN282" s="108">
        <v>14700</v>
      </c>
    </row>
    <row r="283" spans="2:40" hidden="1" x14ac:dyDescent="0.15">
      <c r="B283" s="57">
        <v>6</v>
      </c>
      <c r="C283" s="106" t="s">
        <v>28</v>
      </c>
      <c r="D283" s="4"/>
      <c r="E283" s="4"/>
      <c r="F283" s="117">
        <f t="shared" si="79"/>
        <v>0</v>
      </c>
      <c r="G283" s="117">
        <f t="shared" si="80"/>
        <v>0</v>
      </c>
      <c r="H283" s="117">
        <f t="shared" si="81"/>
        <v>0</v>
      </c>
      <c r="I283" s="117">
        <f t="shared" si="82"/>
        <v>0</v>
      </c>
      <c r="J283" s="117">
        <f t="shared" si="83"/>
        <v>0</v>
      </c>
      <c r="K283" s="117">
        <f t="shared" si="84"/>
        <v>0</v>
      </c>
      <c r="L283" s="55"/>
      <c r="M283" s="55"/>
      <c r="N283" s="55"/>
      <c r="O283" s="55"/>
      <c r="P283" s="55"/>
      <c r="Q283" s="55"/>
      <c r="R283" s="55"/>
      <c r="S283" s="55"/>
      <c r="T283" s="55"/>
      <c r="U283" s="55"/>
      <c r="V283" s="55"/>
      <c r="W283" s="55"/>
      <c r="X283" s="55"/>
      <c r="Y283" s="55"/>
      <c r="Z283" s="55"/>
      <c r="AA283" s="55"/>
      <c r="AB283" s="55"/>
      <c r="AC283" s="55"/>
      <c r="AD283" s="55"/>
      <c r="AE283" s="3">
        <v>13</v>
      </c>
      <c r="AF283" s="106"/>
      <c r="AG283" s="4"/>
      <c r="AH283" s="4"/>
      <c r="AI283" s="107"/>
      <c r="AJ283" s="107"/>
      <c r="AK283" s="107"/>
      <c r="AL283" s="107"/>
      <c r="AM283" s="107"/>
      <c r="AN283" s="108"/>
    </row>
    <row r="284" spans="2:40" hidden="1" x14ac:dyDescent="0.15">
      <c r="B284" s="57">
        <v>7</v>
      </c>
      <c r="C284" s="106" t="s">
        <v>585</v>
      </c>
      <c r="D284" s="4"/>
      <c r="E284" s="4"/>
      <c r="F284" s="117">
        <f t="shared" si="79"/>
        <v>0</v>
      </c>
      <c r="G284" s="117">
        <f t="shared" si="80"/>
        <v>0</v>
      </c>
      <c r="H284" s="117">
        <f t="shared" si="81"/>
        <v>0</v>
      </c>
      <c r="I284" s="117">
        <f t="shared" si="82"/>
        <v>0</v>
      </c>
      <c r="J284" s="117">
        <f t="shared" si="83"/>
        <v>0</v>
      </c>
      <c r="K284" s="117">
        <f t="shared" si="84"/>
        <v>0</v>
      </c>
      <c r="L284" s="55"/>
      <c r="M284" s="55"/>
      <c r="N284" s="55"/>
      <c r="O284" s="55"/>
      <c r="P284" s="55"/>
      <c r="Q284" s="55"/>
      <c r="R284" s="55"/>
      <c r="S284" s="55"/>
      <c r="T284" s="55"/>
      <c r="U284" s="55"/>
      <c r="V284" s="55"/>
      <c r="W284" s="55"/>
      <c r="X284" s="55"/>
      <c r="Y284" s="55"/>
      <c r="Z284" s="55"/>
      <c r="AA284" s="55"/>
      <c r="AB284" s="55"/>
      <c r="AC284" s="55"/>
      <c r="AD284" s="55"/>
      <c r="AE284" s="3">
        <v>14</v>
      </c>
      <c r="AF284" s="106"/>
      <c r="AG284" s="4"/>
      <c r="AH284" s="4"/>
      <c r="AI284" s="107"/>
      <c r="AJ284" s="107"/>
      <c r="AK284" s="107"/>
      <c r="AL284" s="107"/>
      <c r="AM284" s="107"/>
      <c r="AN284" s="108"/>
    </row>
    <row r="285" spans="2:40" hidden="1" x14ac:dyDescent="0.15">
      <c r="B285" s="57">
        <v>8</v>
      </c>
      <c r="C285" s="106" t="s">
        <v>30</v>
      </c>
      <c r="D285" s="4"/>
      <c r="E285" s="4"/>
      <c r="F285" s="117">
        <f t="shared" si="79"/>
        <v>0</v>
      </c>
      <c r="G285" s="117">
        <f t="shared" si="80"/>
        <v>0</v>
      </c>
      <c r="H285" s="117">
        <f t="shared" si="81"/>
        <v>0</v>
      </c>
      <c r="I285" s="117">
        <f t="shared" si="82"/>
        <v>0</v>
      </c>
      <c r="J285" s="117">
        <f t="shared" si="83"/>
        <v>0</v>
      </c>
      <c r="K285" s="117">
        <f t="shared" si="84"/>
        <v>0</v>
      </c>
      <c r="L285" s="55"/>
      <c r="M285" s="55"/>
      <c r="N285" s="55"/>
      <c r="O285" s="55"/>
      <c r="P285" s="55"/>
      <c r="Q285" s="55"/>
      <c r="R285" s="55"/>
      <c r="S285" s="55"/>
      <c r="T285" s="55"/>
      <c r="U285" s="55"/>
      <c r="V285" s="55"/>
      <c r="W285" s="55"/>
      <c r="X285" s="55"/>
      <c r="Y285" s="55"/>
      <c r="Z285" s="55"/>
      <c r="AA285" s="55"/>
      <c r="AB285" s="55"/>
      <c r="AC285" s="55"/>
      <c r="AD285" s="55"/>
      <c r="AE285" s="3">
        <v>15</v>
      </c>
      <c r="AF285" s="106"/>
      <c r="AG285" s="4"/>
      <c r="AH285" s="4"/>
      <c r="AI285" s="107"/>
      <c r="AJ285" s="107"/>
      <c r="AK285" s="107"/>
      <c r="AL285" s="107"/>
      <c r="AM285" s="107"/>
      <c r="AN285" s="108"/>
    </row>
    <row r="286" spans="2:40" hidden="1" x14ac:dyDescent="0.15">
      <c r="B286" s="57">
        <v>9</v>
      </c>
      <c r="C286" s="106" t="s">
        <v>31</v>
      </c>
      <c r="D286" s="4"/>
      <c r="E286" s="4"/>
      <c r="F286" s="117">
        <f t="shared" si="79"/>
        <v>0</v>
      </c>
      <c r="G286" s="117">
        <f t="shared" si="80"/>
        <v>0</v>
      </c>
      <c r="H286" s="117">
        <f t="shared" si="81"/>
        <v>0</v>
      </c>
      <c r="I286" s="117">
        <f t="shared" si="82"/>
        <v>0</v>
      </c>
      <c r="J286" s="117">
        <f t="shared" si="83"/>
        <v>0</v>
      </c>
      <c r="K286" s="117">
        <f t="shared" si="84"/>
        <v>0</v>
      </c>
      <c r="L286" s="55"/>
      <c r="M286" s="55"/>
      <c r="N286" s="55"/>
      <c r="O286" s="55"/>
      <c r="P286" s="55"/>
      <c r="Q286" s="55"/>
      <c r="R286" s="55"/>
      <c r="S286" s="55"/>
      <c r="T286" s="55"/>
      <c r="U286" s="55"/>
      <c r="V286" s="55"/>
      <c r="W286" s="55"/>
      <c r="X286" s="55"/>
      <c r="Y286" s="55"/>
      <c r="Z286" s="55"/>
      <c r="AA286" s="55"/>
      <c r="AB286" s="55"/>
      <c r="AC286" s="55"/>
      <c r="AD286" s="55"/>
      <c r="AE286" s="3">
        <v>16</v>
      </c>
      <c r="AF286" s="106"/>
      <c r="AG286" s="4"/>
      <c r="AH286" s="4"/>
      <c r="AI286" s="107"/>
      <c r="AJ286" s="107"/>
      <c r="AK286" s="107"/>
      <c r="AL286" s="107"/>
      <c r="AM286" s="107"/>
      <c r="AN286" s="108"/>
    </row>
    <row r="287" spans="2:40" ht="15" hidden="1" thickBot="1" x14ac:dyDescent="0.2">
      <c r="B287" s="57">
        <v>10</v>
      </c>
      <c r="C287" s="106" t="s">
        <v>586</v>
      </c>
      <c r="D287" s="4"/>
      <c r="E287" s="4"/>
      <c r="F287" s="117">
        <f t="shared" si="79"/>
        <v>0</v>
      </c>
      <c r="G287" s="117">
        <f t="shared" si="80"/>
        <v>0</v>
      </c>
      <c r="H287" s="117">
        <f t="shared" si="81"/>
        <v>0</v>
      </c>
      <c r="I287" s="117">
        <f t="shared" si="82"/>
        <v>0</v>
      </c>
      <c r="J287" s="117">
        <f t="shared" si="83"/>
        <v>0</v>
      </c>
      <c r="K287" s="117">
        <f t="shared" si="84"/>
        <v>0</v>
      </c>
      <c r="L287" s="55"/>
      <c r="M287" s="55"/>
      <c r="N287" s="55"/>
      <c r="O287" s="55"/>
      <c r="P287" s="55"/>
      <c r="Q287" s="55"/>
      <c r="R287" s="55"/>
      <c r="S287" s="55"/>
      <c r="T287" s="55"/>
      <c r="U287" s="55"/>
      <c r="V287" s="55"/>
      <c r="W287" s="55"/>
      <c r="X287" s="55"/>
      <c r="Y287" s="55"/>
      <c r="Z287" s="55"/>
      <c r="AA287" s="55"/>
      <c r="AB287" s="55"/>
      <c r="AC287" s="55"/>
      <c r="AD287" s="55"/>
      <c r="AE287" s="3">
        <v>17</v>
      </c>
      <c r="AF287" s="109"/>
      <c r="AG287" s="110"/>
      <c r="AH287" s="110"/>
      <c r="AI287" s="111"/>
      <c r="AJ287" s="111"/>
      <c r="AK287" s="111"/>
      <c r="AL287" s="111"/>
      <c r="AM287" s="111"/>
      <c r="AN287" s="112"/>
    </row>
    <row r="288" spans="2:40" hidden="1" x14ac:dyDescent="0.15">
      <c r="B288" s="57">
        <v>11</v>
      </c>
      <c r="C288" s="106" t="s">
        <v>33</v>
      </c>
      <c r="D288" s="4"/>
      <c r="E288" s="4"/>
      <c r="F288" s="117">
        <f t="shared" si="79"/>
        <v>0</v>
      </c>
      <c r="G288" s="117">
        <f t="shared" si="80"/>
        <v>0</v>
      </c>
      <c r="H288" s="117">
        <f t="shared" si="81"/>
        <v>0</v>
      </c>
      <c r="I288" s="117">
        <f t="shared" si="82"/>
        <v>0</v>
      </c>
      <c r="J288" s="117">
        <f t="shared" si="83"/>
        <v>0</v>
      </c>
      <c r="K288" s="117">
        <f t="shared" si="84"/>
        <v>0</v>
      </c>
      <c r="L288" s="55"/>
      <c r="M288" s="55"/>
      <c r="N288" s="55"/>
      <c r="O288" s="55"/>
      <c r="P288" s="55"/>
      <c r="Q288" s="55"/>
      <c r="R288" s="55"/>
      <c r="S288" s="55"/>
      <c r="T288" s="55"/>
      <c r="U288" s="55"/>
      <c r="V288" s="55"/>
      <c r="W288" s="55"/>
      <c r="X288" s="55"/>
      <c r="Y288" s="55"/>
      <c r="Z288" s="55"/>
      <c r="AA288" s="55"/>
      <c r="AB288" s="55"/>
      <c r="AC288" s="55"/>
      <c r="AD288" s="55"/>
    </row>
    <row r="289" spans="2:30" hidden="1" x14ac:dyDescent="0.15">
      <c r="B289" s="57">
        <v>12</v>
      </c>
      <c r="C289" s="106" t="s">
        <v>34</v>
      </c>
      <c r="D289" s="4"/>
      <c r="E289" s="4"/>
      <c r="F289" s="117">
        <f t="shared" si="79"/>
        <v>0</v>
      </c>
      <c r="G289" s="117">
        <f t="shared" si="80"/>
        <v>0</v>
      </c>
      <c r="H289" s="117">
        <f t="shared" si="81"/>
        <v>0</v>
      </c>
      <c r="I289" s="117">
        <f t="shared" si="82"/>
        <v>0</v>
      </c>
      <c r="J289" s="117">
        <f t="shared" si="83"/>
        <v>0</v>
      </c>
      <c r="K289" s="117">
        <f t="shared" si="84"/>
        <v>0</v>
      </c>
      <c r="L289" s="55"/>
      <c r="M289" s="55"/>
      <c r="N289" s="55"/>
      <c r="O289" s="55"/>
      <c r="P289" s="55"/>
      <c r="Q289" s="55"/>
      <c r="R289" s="55"/>
      <c r="S289" s="55"/>
      <c r="T289" s="55"/>
      <c r="U289" s="55"/>
      <c r="V289" s="55"/>
      <c r="W289" s="55"/>
      <c r="X289" s="55"/>
      <c r="Y289" s="55"/>
      <c r="Z289" s="55"/>
      <c r="AA289" s="55"/>
      <c r="AB289" s="55"/>
      <c r="AC289" s="55"/>
      <c r="AD289" s="55"/>
    </row>
    <row r="290" spans="2:30" hidden="1" x14ac:dyDescent="0.15">
      <c r="B290" s="57">
        <v>13</v>
      </c>
      <c r="C290" s="106" t="s">
        <v>35</v>
      </c>
      <c r="D290" s="4"/>
      <c r="E290" s="4"/>
      <c r="F290" s="117">
        <f t="shared" si="79"/>
        <v>0</v>
      </c>
      <c r="G290" s="117">
        <f t="shared" si="80"/>
        <v>0</v>
      </c>
      <c r="H290" s="117">
        <f t="shared" si="81"/>
        <v>0</v>
      </c>
      <c r="I290" s="117">
        <f t="shared" si="82"/>
        <v>0</v>
      </c>
      <c r="J290" s="117">
        <f t="shared" si="83"/>
        <v>0</v>
      </c>
      <c r="K290" s="117">
        <f t="shared" si="84"/>
        <v>0</v>
      </c>
      <c r="L290" s="55"/>
      <c r="M290" s="55"/>
      <c r="N290" s="55"/>
      <c r="O290" s="55"/>
      <c r="P290" s="55"/>
      <c r="Q290" s="55"/>
      <c r="R290" s="55"/>
      <c r="S290" s="55"/>
      <c r="T290" s="55"/>
      <c r="U290" s="55"/>
      <c r="V290" s="55"/>
      <c r="W290" s="55"/>
      <c r="X290" s="55"/>
      <c r="Y290" s="55"/>
      <c r="Z290" s="55"/>
      <c r="AA290" s="55"/>
      <c r="AB290" s="55"/>
      <c r="AC290" s="55"/>
      <c r="AD290" s="55"/>
    </row>
    <row r="291" spans="2:30" hidden="1" x14ac:dyDescent="0.15">
      <c r="B291" s="57">
        <v>14</v>
      </c>
      <c r="C291" s="106" t="s">
        <v>36</v>
      </c>
      <c r="D291" s="4"/>
      <c r="E291" s="4"/>
      <c r="F291" s="117">
        <f t="shared" si="79"/>
        <v>0</v>
      </c>
      <c r="G291" s="117">
        <f t="shared" si="80"/>
        <v>0</v>
      </c>
      <c r="H291" s="117">
        <f t="shared" si="81"/>
        <v>0</v>
      </c>
      <c r="I291" s="117">
        <f t="shared" si="82"/>
        <v>0</v>
      </c>
      <c r="J291" s="117">
        <f t="shared" si="83"/>
        <v>0</v>
      </c>
      <c r="K291" s="117">
        <f t="shared" si="84"/>
        <v>0</v>
      </c>
      <c r="L291" s="55"/>
      <c r="M291" s="55"/>
      <c r="N291" s="55"/>
      <c r="O291" s="55"/>
      <c r="P291" s="55"/>
      <c r="Q291" s="55"/>
      <c r="R291" s="55"/>
      <c r="S291" s="55"/>
      <c r="T291" s="55"/>
      <c r="U291" s="55"/>
      <c r="V291" s="55"/>
      <c r="W291" s="55"/>
      <c r="X291" s="55"/>
      <c r="Y291" s="55"/>
      <c r="Z291" s="55"/>
      <c r="AA291" s="55"/>
      <c r="AB291" s="55"/>
      <c r="AC291" s="55"/>
      <c r="AD291" s="55"/>
    </row>
    <row r="292" spans="2:30" hidden="1" x14ac:dyDescent="0.15">
      <c r="B292" s="57">
        <v>15</v>
      </c>
      <c r="C292" s="106" t="s">
        <v>37</v>
      </c>
      <c r="D292" s="4"/>
      <c r="E292" s="4"/>
      <c r="F292" s="117">
        <f t="shared" si="79"/>
        <v>0</v>
      </c>
      <c r="G292" s="117">
        <f t="shared" si="80"/>
        <v>0</v>
      </c>
      <c r="H292" s="117">
        <f t="shared" si="81"/>
        <v>0</v>
      </c>
      <c r="I292" s="117">
        <f t="shared" si="82"/>
        <v>0</v>
      </c>
      <c r="J292" s="117">
        <f t="shared" si="83"/>
        <v>0</v>
      </c>
      <c r="K292" s="117">
        <f t="shared" si="84"/>
        <v>0</v>
      </c>
      <c r="L292" s="55"/>
      <c r="M292" s="55"/>
      <c r="N292" s="55"/>
      <c r="O292" s="55"/>
      <c r="P292" s="55"/>
      <c r="Q292" s="55"/>
      <c r="R292" s="55"/>
      <c r="S292" s="55"/>
      <c r="T292" s="55"/>
      <c r="U292" s="55"/>
      <c r="V292" s="55"/>
      <c r="W292" s="55"/>
      <c r="X292" s="55"/>
      <c r="Y292" s="55"/>
      <c r="Z292" s="55"/>
      <c r="AA292" s="55"/>
      <c r="AB292" s="55"/>
      <c r="AC292" s="55"/>
      <c r="AD292" s="55"/>
    </row>
    <row r="293" spans="2:30" hidden="1" x14ac:dyDescent="0.15">
      <c r="B293" s="57">
        <v>16</v>
      </c>
      <c r="C293" s="106" t="s">
        <v>38</v>
      </c>
      <c r="D293" s="4"/>
      <c r="E293" s="4"/>
      <c r="F293" s="117">
        <f t="shared" si="79"/>
        <v>0</v>
      </c>
      <c r="G293" s="117">
        <f t="shared" si="80"/>
        <v>0</v>
      </c>
      <c r="H293" s="117">
        <f t="shared" si="81"/>
        <v>0</v>
      </c>
      <c r="I293" s="117">
        <f t="shared" si="82"/>
        <v>0</v>
      </c>
      <c r="J293" s="117">
        <f t="shared" si="83"/>
        <v>0</v>
      </c>
      <c r="K293" s="117">
        <f t="shared" si="84"/>
        <v>0</v>
      </c>
      <c r="L293" s="55"/>
      <c r="M293" s="55"/>
      <c r="N293" s="55"/>
      <c r="O293" s="55"/>
      <c r="P293" s="55"/>
      <c r="Q293" s="55"/>
      <c r="R293" s="55"/>
      <c r="S293" s="55"/>
      <c r="T293" s="55"/>
      <c r="U293" s="55"/>
      <c r="V293" s="55"/>
      <c r="W293" s="55"/>
      <c r="X293" s="55"/>
      <c r="Y293" s="55"/>
      <c r="Z293" s="55"/>
      <c r="AA293" s="55"/>
      <c r="AB293" s="55"/>
      <c r="AC293" s="55"/>
      <c r="AD293" s="55"/>
    </row>
    <row r="294" spans="2:30" ht="15" hidden="1" thickBot="1" x14ac:dyDescent="0.2">
      <c r="B294" s="57">
        <v>17</v>
      </c>
      <c r="C294" s="109" t="s">
        <v>609</v>
      </c>
      <c r="D294" s="110"/>
      <c r="E294" s="110"/>
      <c r="F294" s="117">
        <f t="shared" si="79"/>
        <v>0</v>
      </c>
      <c r="G294" s="117">
        <f t="shared" si="80"/>
        <v>0</v>
      </c>
      <c r="H294" s="117">
        <f t="shared" si="81"/>
        <v>0</v>
      </c>
      <c r="I294" s="117">
        <f t="shared" si="82"/>
        <v>0</v>
      </c>
      <c r="J294" s="117">
        <f t="shared" si="83"/>
        <v>0</v>
      </c>
      <c r="K294" s="117">
        <f t="shared" si="84"/>
        <v>0</v>
      </c>
      <c r="L294" s="55"/>
      <c r="M294" s="55"/>
      <c r="N294" s="55"/>
      <c r="O294" s="55"/>
      <c r="P294" s="55"/>
      <c r="Q294" s="55"/>
      <c r="R294" s="55"/>
      <c r="S294" s="55"/>
      <c r="T294" s="55"/>
      <c r="U294" s="55"/>
      <c r="V294" s="55"/>
      <c r="W294" s="55"/>
      <c r="X294" s="55"/>
      <c r="Y294" s="55"/>
      <c r="Z294" s="55"/>
      <c r="AA294" s="55"/>
      <c r="AB294" s="55"/>
      <c r="AC294" s="55"/>
      <c r="AD294" s="55"/>
    </row>
    <row r="295" spans="2:30" hidden="1" x14ac:dyDescent="0.15">
      <c r="B295" s="113"/>
      <c r="C295" s="99"/>
      <c r="D295" s="9"/>
      <c r="E295" s="9"/>
      <c r="F295" s="9"/>
      <c r="G295" s="9"/>
      <c r="H295" s="9"/>
      <c r="I295" s="9"/>
      <c r="J295" s="9"/>
      <c r="K295" s="55"/>
      <c r="L295" s="55"/>
      <c r="M295" s="55"/>
      <c r="N295" s="55"/>
      <c r="O295" s="55"/>
      <c r="P295" s="55"/>
      <c r="Q295" s="55"/>
      <c r="R295" s="55"/>
      <c r="S295" s="55"/>
      <c r="T295" s="55"/>
      <c r="U295" s="55"/>
      <c r="V295" s="55"/>
      <c r="W295" s="55"/>
      <c r="X295" s="55"/>
      <c r="Y295" s="55"/>
      <c r="Z295" s="55"/>
      <c r="AA295" s="55"/>
      <c r="AB295" s="55"/>
      <c r="AC295" s="55"/>
      <c r="AD295" s="55"/>
    </row>
    <row r="296" spans="2:30" hidden="1" x14ac:dyDescent="0.15">
      <c r="B296" s="113"/>
      <c r="C296" s="3" t="s">
        <v>610</v>
      </c>
      <c r="D296" s="9"/>
      <c r="E296" s="686"/>
      <c r="F296" s="741"/>
      <c r="G296" s="741"/>
      <c r="H296" s="741"/>
      <c r="I296" s="741"/>
      <c r="J296" s="741"/>
      <c r="K296" s="741"/>
      <c r="L296" s="741"/>
      <c r="M296" s="741"/>
      <c r="N296" s="741"/>
      <c r="O296" s="741"/>
      <c r="P296" s="741"/>
      <c r="Q296" s="741"/>
      <c r="R296" s="741"/>
      <c r="S296" s="741"/>
      <c r="T296" s="741"/>
      <c r="U296" s="741"/>
      <c r="V296" s="741"/>
      <c r="W296" s="741"/>
      <c r="X296" s="741"/>
      <c r="Y296" s="741"/>
      <c r="Z296" s="741"/>
      <c r="AA296" s="741"/>
      <c r="AB296" s="741"/>
      <c r="AC296" s="741"/>
      <c r="AD296" s="741"/>
    </row>
    <row r="297" spans="2:30" hidden="1" x14ac:dyDescent="0.15">
      <c r="B297" s="113"/>
      <c r="C297" s="3" t="s">
        <v>611</v>
      </c>
      <c r="D297" s="9"/>
      <c r="E297" s="686"/>
      <c r="F297" s="7"/>
      <c r="G297" s="741"/>
      <c r="H297" s="741"/>
      <c r="I297" s="7"/>
      <c r="J297" s="741"/>
      <c r="K297" s="7"/>
      <c r="L297" s="7"/>
      <c r="M297" s="7"/>
      <c r="N297" s="7"/>
      <c r="O297" s="7"/>
      <c r="P297" s="7"/>
      <c r="Q297" s="7"/>
      <c r="R297" s="7"/>
      <c r="S297" s="7"/>
      <c r="T297" s="7"/>
      <c r="U297" s="7"/>
      <c r="V297" s="7"/>
      <c r="W297" s="7"/>
      <c r="X297" s="7"/>
      <c r="Y297" s="7"/>
      <c r="Z297" s="7"/>
      <c r="AA297" s="7"/>
      <c r="AB297" s="7"/>
      <c r="AC297" s="7"/>
      <c r="AD297" s="7"/>
    </row>
    <row r="298" spans="2:30" hidden="1" x14ac:dyDescent="0.15">
      <c r="B298" s="113"/>
      <c r="C298" s="3" t="s">
        <v>612</v>
      </c>
      <c r="D298" s="9"/>
      <c r="E298" s="9"/>
      <c r="F298" s="9"/>
      <c r="G298" s="9"/>
      <c r="H298" s="9"/>
      <c r="I298" s="9"/>
      <c r="J298" s="9"/>
      <c r="K298" s="55"/>
      <c r="L298" s="55"/>
      <c r="M298" s="55"/>
      <c r="N298" s="55"/>
      <c r="O298" s="55"/>
      <c r="P298" s="55"/>
      <c r="Q298" s="55"/>
      <c r="R298" s="55"/>
      <c r="S298" s="55"/>
      <c r="T298" s="55"/>
      <c r="U298" s="55"/>
      <c r="V298" s="55"/>
      <c r="W298" s="55"/>
      <c r="X298" s="55"/>
      <c r="Y298" s="55"/>
      <c r="Z298" s="55"/>
      <c r="AA298" s="55"/>
      <c r="AB298" s="55"/>
      <c r="AC298" s="55"/>
      <c r="AD298" s="55"/>
    </row>
    <row r="299" spans="2:30" hidden="1" x14ac:dyDescent="0.15">
      <c r="B299" s="113"/>
      <c r="C299" s="3" t="s">
        <v>613</v>
      </c>
      <c r="D299" s="9"/>
      <c r="E299" s="9"/>
      <c r="F299" s="9"/>
      <c r="G299" s="9"/>
      <c r="H299" s="9"/>
      <c r="I299" s="9"/>
      <c r="J299" s="9"/>
      <c r="K299" s="55"/>
      <c r="L299" s="55"/>
      <c r="M299" s="55"/>
      <c r="N299" s="55"/>
      <c r="O299" s="55"/>
      <c r="P299" s="55"/>
      <c r="Q299" s="55"/>
      <c r="R299" s="55"/>
      <c r="S299" s="55"/>
      <c r="T299" s="55"/>
      <c r="U299" s="55"/>
      <c r="V299" s="55"/>
      <c r="W299" s="55"/>
      <c r="X299" s="55"/>
      <c r="Y299" s="55"/>
      <c r="Z299" s="55"/>
      <c r="AA299" s="55"/>
      <c r="AB299" s="55"/>
      <c r="AC299" s="55"/>
      <c r="AD299" s="55"/>
    </row>
    <row r="300" spans="2:30" hidden="1" x14ac:dyDescent="0.15">
      <c r="B300" s="2"/>
      <c r="C300" s="3" t="s">
        <v>614</v>
      </c>
      <c r="D300" s="9"/>
      <c r="E300" s="9"/>
      <c r="F300" s="9"/>
      <c r="G300" s="9"/>
      <c r="H300" s="9"/>
      <c r="I300" s="9"/>
      <c r="J300" s="9"/>
      <c r="K300" s="55"/>
      <c r="L300" s="55"/>
      <c r="M300" s="55"/>
      <c r="N300" s="55"/>
      <c r="O300" s="55"/>
      <c r="P300" s="55"/>
      <c r="Q300" s="55"/>
      <c r="R300" s="55"/>
      <c r="S300" s="55"/>
      <c r="T300" s="55"/>
      <c r="U300" s="55"/>
      <c r="V300" s="55"/>
      <c r="W300" s="55"/>
      <c r="X300" s="55"/>
      <c r="Y300" s="55"/>
      <c r="Z300" s="55"/>
      <c r="AA300" s="55"/>
      <c r="AB300" s="55"/>
      <c r="AC300" s="55"/>
      <c r="AD300" s="55"/>
    </row>
    <row r="301" spans="2:30" hidden="1" x14ac:dyDescent="0.15">
      <c r="B301" s="2"/>
      <c r="C301" s="3" t="s">
        <v>540</v>
      </c>
      <c r="D301" s="9"/>
      <c r="E301" s="9"/>
      <c r="F301" s="9"/>
      <c r="G301" s="9"/>
      <c r="H301" s="9"/>
      <c r="I301" s="9"/>
      <c r="J301" s="9"/>
      <c r="K301" s="55"/>
      <c r="L301" s="55"/>
      <c r="M301" s="55"/>
      <c r="N301" s="55"/>
      <c r="O301" s="55"/>
      <c r="P301" s="55"/>
      <c r="Q301" s="55"/>
      <c r="R301" s="55"/>
      <c r="S301" s="55"/>
      <c r="T301" s="55"/>
      <c r="U301" s="55"/>
      <c r="V301" s="55"/>
      <c r="W301" s="55"/>
      <c r="X301" s="55"/>
      <c r="Y301" s="55"/>
      <c r="Z301" s="55"/>
      <c r="AA301" s="55"/>
      <c r="AB301" s="55"/>
      <c r="AC301" s="55"/>
      <c r="AD301" s="55"/>
    </row>
    <row r="302" spans="2:30" hidden="1" x14ac:dyDescent="0.15">
      <c r="B302" s="2"/>
      <c r="C302" s="3" t="s">
        <v>615</v>
      </c>
      <c r="D302" s="9"/>
      <c r="E302" s="9"/>
      <c r="F302" s="9"/>
      <c r="G302" s="9"/>
      <c r="H302" s="9"/>
      <c r="I302" s="9"/>
      <c r="J302" s="9"/>
      <c r="K302" s="55"/>
      <c r="L302" s="55"/>
      <c r="M302" s="55"/>
      <c r="N302" s="55"/>
      <c r="O302" s="55"/>
      <c r="P302" s="55"/>
      <c r="Q302" s="55"/>
      <c r="R302" s="55"/>
      <c r="S302" s="55"/>
      <c r="T302" s="55"/>
      <c r="U302" s="55"/>
      <c r="V302" s="55"/>
      <c r="W302" s="55"/>
      <c r="X302" s="55"/>
      <c r="Y302" s="55"/>
      <c r="Z302" s="55"/>
      <c r="AA302" s="55"/>
      <c r="AB302" s="55"/>
      <c r="AC302" s="55"/>
      <c r="AD302" s="55"/>
    </row>
    <row r="303" spans="2:30" hidden="1" x14ac:dyDescent="0.15">
      <c r="B303" s="2"/>
      <c r="C303" s="3" t="s">
        <v>616</v>
      </c>
      <c r="D303" s="9"/>
      <c r="E303" s="9"/>
      <c r="F303" s="9"/>
      <c r="G303" s="9"/>
      <c r="H303" s="9"/>
      <c r="I303" s="9"/>
      <c r="J303" s="9"/>
      <c r="K303" s="55"/>
      <c r="L303" s="55"/>
      <c r="M303" s="55"/>
      <c r="N303" s="55"/>
      <c r="O303" s="55"/>
      <c r="P303" s="55"/>
      <c r="Q303" s="55"/>
      <c r="R303" s="55"/>
      <c r="S303" s="55"/>
      <c r="T303" s="55"/>
      <c r="U303" s="55"/>
      <c r="V303" s="55"/>
      <c r="W303" s="55"/>
      <c r="X303" s="55"/>
      <c r="Y303" s="55"/>
      <c r="Z303" s="55"/>
      <c r="AA303" s="55"/>
      <c r="AB303" s="55"/>
      <c r="AC303" s="55"/>
      <c r="AD303" s="55"/>
    </row>
    <row r="304" spans="2:30" hidden="1" x14ac:dyDescent="0.15">
      <c r="B304" s="2"/>
      <c r="C304" s="3" t="s">
        <v>617</v>
      </c>
      <c r="D304" s="9"/>
      <c r="E304" s="9"/>
      <c r="F304" s="9"/>
      <c r="G304" s="9"/>
      <c r="H304" s="9"/>
      <c r="I304" s="9"/>
      <c r="J304" s="9"/>
      <c r="K304" s="55"/>
      <c r="L304" s="55"/>
      <c r="M304" s="55"/>
      <c r="N304" s="55"/>
      <c r="O304" s="55"/>
      <c r="P304" s="55"/>
      <c r="Q304" s="55"/>
      <c r="R304" s="55"/>
      <c r="S304" s="55"/>
      <c r="T304" s="55"/>
      <c r="U304" s="55"/>
      <c r="V304" s="55"/>
      <c r="W304" s="55"/>
      <c r="X304" s="55"/>
      <c r="Y304" s="55"/>
      <c r="Z304" s="55"/>
      <c r="AA304" s="55"/>
      <c r="AB304" s="55"/>
      <c r="AC304" s="55"/>
      <c r="AD304" s="55"/>
    </row>
    <row r="305" spans="2:30" hidden="1" x14ac:dyDescent="0.15">
      <c r="B305" s="2"/>
      <c r="C305" s="3" t="s">
        <v>618</v>
      </c>
      <c r="D305" s="9"/>
      <c r="E305" s="9"/>
      <c r="F305" s="9"/>
      <c r="G305" s="9"/>
      <c r="H305" s="9"/>
      <c r="I305" s="9"/>
      <c r="J305" s="9"/>
      <c r="K305" s="55"/>
      <c r="L305" s="55"/>
      <c r="M305" s="55"/>
      <c r="N305" s="55"/>
      <c r="O305" s="55"/>
      <c r="P305" s="55"/>
      <c r="Q305" s="55"/>
      <c r="R305" s="55"/>
      <c r="S305" s="55"/>
      <c r="T305" s="55"/>
      <c r="U305" s="55"/>
      <c r="V305" s="55"/>
      <c r="W305" s="55"/>
      <c r="X305" s="55"/>
      <c r="Y305" s="55"/>
      <c r="Z305" s="55"/>
      <c r="AA305" s="55"/>
      <c r="AB305" s="55"/>
      <c r="AC305" s="55"/>
      <c r="AD305" s="55"/>
    </row>
    <row r="306" spans="2:30" hidden="1" x14ac:dyDescent="0.15">
      <c r="B306" s="2"/>
      <c r="C306" s="3" t="s">
        <v>619</v>
      </c>
      <c r="D306" s="9"/>
      <c r="E306" s="9"/>
      <c r="F306" s="9"/>
      <c r="G306" s="9"/>
      <c r="H306" s="9"/>
      <c r="I306" s="9"/>
      <c r="J306" s="9"/>
      <c r="K306" s="55"/>
      <c r="L306" s="55"/>
      <c r="M306" s="55"/>
      <c r="N306" s="55"/>
      <c r="O306" s="55"/>
      <c r="P306" s="55"/>
      <c r="Q306" s="55"/>
      <c r="R306" s="55"/>
      <c r="S306" s="55"/>
      <c r="T306" s="55"/>
      <c r="U306" s="55"/>
      <c r="V306" s="55"/>
      <c r="W306" s="55"/>
      <c r="X306" s="55"/>
      <c r="Y306" s="55"/>
      <c r="Z306" s="55"/>
      <c r="AA306" s="55"/>
      <c r="AB306" s="55"/>
      <c r="AC306" s="55"/>
      <c r="AD306" s="55"/>
    </row>
    <row r="307" spans="2:30" hidden="1" x14ac:dyDescent="0.15">
      <c r="B307" s="2"/>
      <c r="C307" s="3" t="s">
        <v>620</v>
      </c>
      <c r="D307" s="9"/>
      <c r="E307" s="9"/>
      <c r="F307" s="9"/>
      <c r="G307" s="9"/>
      <c r="H307" s="9"/>
      <c r="I307" s="9"/>
      <c r="J307" s="9"/>
      <c r="K307" s="55"/>
      <c r="L307" s="55"/>
      <c r="M307" s="55"/>
      <c r="N307" s="55"/>
      <c r="O307" s="55"/>
      <c r="P307" s="55"/>
      <c r="Q307" s="55"/>
      <c r="R307" s="55"/>
      <c r="S307" s="55"/>
      <c r="T307" s="55"/>
      <c r="U307" s="55"/>
      <c r="V307" s="55"/>
      <c r="W307" s="55"/>
      <c r="X307" s="55"/>
      <c r="Y307" s="55"/>
      <c r="Z307" s="55"/>
      <c r="AA307" s="55"/>
      <c r="AB307" s="55"/>
      <c r="AC307" s="55"/>
      <c r="AD307" s="55"/>
    </row>
    <row r="308" spans="2:30" hidden="1" x14ac:dyDescent="0.15">
      <c r="B308" s="2"/>
      <c r="C308" s="2" t="s">
        <v>621</v>
      </c>
      <c r="D308" s="9"/>
      <c r="E308" s="9"/>
      <c r="F308" s="9"/>
      <c r="G308" s="9"/>
      <c r="H308" s="9"/>
      <c r="I308" s="9"/>
      <c r="J308" s="9"/>
      <c r="K308" s="55"/>
      <c r="L308" s="55"/>
      <c r="M308" s="55"/>
      <c r="N308" s="55"/>
      <c r="O308" s="55"/>
      <c r="P308" s="55"/>
      <c r="Q308" s="55"/>
      <c r="R308" s="55"/>
      <c r="S308" s="55"/>
      <c r="T308" s="55"/>
      <c r="U308" s="55"/>
      <c r="V308" s="55"/>
      <c r="W308" s="55"/>
      <c r="X308" s="55"/>
      <c r="Y308" s="55"/>
      <c r="Z308" s="55"/>
      <c r="AA308" s="55"/>
      <c r="AB308" s="55"/>
      <c r="AC308" s="55"/>
      <c r="AD308" s="55"/>
    </row>
    <row r="309" spans="2:30" hidden="1" x14ac:dyDescent="0.15">
      <c r="B309" s="2"/>
      <c r="C309" s="125">
        <f>+VALUE(RIGHT(F2,4))</f>
        <v>0</v>
      </c>
      <c r="D309" s="125">
        <f>+VALUE(RIGHT(P2,4))</f>
        <v>0</v>
      </c>
      <c r="E309" s="125">
        <f>+VALUE(RIGHT(Z2,4))</f>
        <v>0</v>
      </c>
      <c r="F309" s="9"/>
      <c r="G309" s="9"/>
      <c r="H309" s="9"/>
      <c r="I309" s="9"/>
      <c r="J309" s="9"/>
      <c r="K309" s="55"/>
      <c r="L309" s="55"/>
      <c r="M309" s="55"/>
      <c r="N309" s="55"/>
      <c r="O309" s="55"/>
      <c r="P309" s="55"/>
      <c r="Q309" s="55"/>
      <c r="R309" s="55"/>
      <c r="S309" s="55"/>
      <c r="T309" s="55"/>
      <c r="U309" s="55"/>
      <c r="V309" s="55"/>
      <c r="W309" s="55"/>
      <c r="X309" s="55"/>
      <c r="Y309" s="55"/>
      <c r="Z309" s="55"/>
      <c r="AA309" s="55"/>
      <c r="AB309" s="55"/>
      <c r="AC309" s="55"/>
      <c r="AD309" s="55"/>
    </row>
    <row r="310" spans="2:30" hidden="1" x14ac:dyDescent="0.15">
      <c r="B310" s="2"/>
      <c r="C310" s="9"/>
      <c r="D310" s="9"/>
      <c r="E310" s="9"/>
      <c r="F310" s="9"/>
      <c r="G310" s="9"/>
      <c r="H310" s="9"/>
      <c r="I310" s="9"/>
      <c r="J310" s="9"/>
      <c r="K310" s="55"/>
      <c r="L310" s="55"/>
      <c r="M310" s="55"/>
      <c r="N310" s="55"/>
      <c r="O310" s="55"/>
      <c r="P310" s="55"/>
      <c r="Q310" s="55"/>
      <c r="R310" s="55"/>
      <c r="S310" s="55"/>
      <c r="T310" s="55"/>
      <c r="U310" s="55"/>
      <c r="V310" s="55"/>
      <c r="W310" s="55"/>
      <c r="X310" s="55"/>
      <c r="Y310" s="55"/>
      <c r="Z310" s="55"/>
      <c r="AA310" s="55"/>
      <c r="AB310" s="55"/>
      <c r="AC310" s="55"/>
      <c r="AD310" s="55"/>
    </row>
    <row r="311" spans="2:30" hidden="1" x14ac:dyDescent="0.15">
      <c r="B311" s="2"/>
      <c r="C311" s="9"/>
      <c r="D311" s="9"/>
      <c r="E311" s="9"/>
      <c r="F311" s="9"/>
      <c r="G311" s="9"/>
      <c r="H311" s="9"/>
      <c r="I311" s="9"/>
      <c r="J311" s="9"/>
      <c r="K311" s="55"/>
      <c r="L311" s="55"/>
      <c r="M311" s="55"/>
      <c r="N311" s="55"/>
      <c r="O311" s="55"/>
      <c r="P311" s="55"/>
      <c r="Q311" s="55"/>
      <c r="R311" s="55"/>
      <c r="S311" s="55"/>
      <c r="T311" s="55"/>
      <c r="U311" s="55"/>
      <c r="V311" s="55"/>
      <c r="W311" s="55"/>
      <c r="X311" s="55"/>
      <c r="Y311" s="55"/>
      <c r="Z311" s="55"/>
      <c r="AA311" s="55"/>
      <c r="AB311" s="55"/>
      <c r="AC311" s="55"/>
      <c r="AD311" s="55"/>
    </row>
    <row r="312" spans="2:30" hidden="1" x14ac:dyDescent="0.15">
      <c r="B312" s="2"/>
      <c r="C312" s="9"/>
      <c r="D312" s="9"/>
      <c r="E312" s="9"/>
      <c r="F312" s="9"/>
      <c r="G312" s="9"/>
      <c r="H312" s="9"/>
      <c r="I312" s="9"/>
      <c r="J312" s="9"/>
      <c r="K312" s="55"/>
      <c r="L312" s="55"/>
      <c r="M312" s="55"/>
      <c r="N312" s="55"/>
      <c r="O312" s="55"/>
      <c r="P312" s="55"/>
      <c r="Q312" s="55"/>
      <c r="R312" s="55"/>
      <c r="S312" s="55"/>
      <c r="T312" s="55"/>
      <c r="U312" s="55"/>
      <c r="V312" s="55"/>
      <c r="W312" s="55"/>
      <c r="X312" s="55"/>
      <c r="Y312" s="55"/>
      <c r="Z312" s="55"/>
      <c r="AA312" s="55"/>
      <c r="AB312" s="55"/>
      <c r="AC312" s="55"/>
      <c r="AD312" s="55"/>
    </row>
    <row r="313" spans="2:30" hidden="1" x14ac:dyDescent="0.15">
      <c r="B313" s="2"/>
      <c r="C313" s="9"/>
      <c r="D313" s="9"/>
      <c r="E313" s="9"/>
      <c r="F313" s="9"/>
      <c r="G313" s="9"/>
      <c r="H313" s="9"/>
      <c r="I313" s="9"/>
      <c r="J313" s="9"/>
      <c r="K313" s="55"/>
      <c r="L313" s="55"/>
      <c r="M313" s="55"/>
      <c r="N313" s="55"/>
      <c r="O313" s="55"/>
      <c r="P313" s="55"/>
      <c r="Q313" s="55"/>
      <c r="R313" s="55"/>
      <c r="S313" s="55"/>
      <c r="T313" s="55"/>
      <c r="U313" s="55"/>
      <c r="V313" s="55"/>
      <c r="W313" s="55"/>
      <c r="X313" s="55"/>
      <c r="Y313" s="55"/>
      <c r="Z313" s="55"/>
      <c r="AA313" s="55"/>
      <c r="AB313" s="55"/>
      <c r="AC313" s="55"/>
      <c r="AD313" s="55"/>
    </row>
    <row r="314" spans="2:30" hidden="1" x14ac:dyDescent="0.15">
      <c r="B314" s="2"/>
      <c r="C314" s="9"/>
      <c r="D314" s="9"/>
      <c r="E314" s="9"/>
      <c r="F314" s="9"/>
      <c r="G314" s="9"/>
      <c r="H314" s="9"/>
      <c r="I314" s="9"/>
      <c r="J314" s="9"/>
      <c r="K314" s="55"/>
      <c r="L314" s="55"/>
      <c r="M314" s="55"/>
      <c r="N314" s="55"/>
      <c r="O314" s="55"/>
      <c r="P314" s="55"/>
      <c r="Q314" s="55"/>
      <c r="R314" s="55"/>
      <c r="S314" s="55"/>
      <c r="T314" s="55"/>
      <c r="U314" s="55"/>
      <c r="V314" s="55"/>
      <c r="W314" s="55"/>
      <c r="X314" s="55"/>
      <c r="Y314" s="55"/>
      <c r="Z314" s="55"/>
      <c r="AA314" s="55"/>
      <c r="AB314" s="55"/>
      <c r="AC314" s="55"/>
      <c r="AD314" s="55"/>
    </row>
    <row r="315" spans="2:30" hidden="1" x14ac:dyDescent="0.15">
      <c r="B315" s="2"/>
      <c r="C315" s="9"/>
      <c r="D315" s="9"/>
      <c r="E315" s="9"/>
      <c r="F315" s="9"/>
      <c r="G315" s="9"/>
      <c r="H315" s="9"/>
      <c r="I315" s="9"/>
      <c r="J315" s="9"/>
      <c r="K315" s="9"/>
      <c r="L315" s="9"/>
      <c r="M315" s="9"/>
      <c r="N315" s="23"/>
      <c r="O315" s="23"/>
      <c r="P315" s="23"/>
      <c r="Q315" s="23"/>
      <c r="R315" s="23"/>
      <c r="S315" s="23"/>
      <c r="T315" s="23"/>
      <c r="U315" s="23"/>
      <c r="V315" s="23"/>
      <c r="W315" s="23"/>
      <c r="X315" s="23"/>
      <c r="Y315" s="23"/>
      <c r="Z315" s="23"/>
      <c r="AA315" s="23"/>
      <c r="AB315" s="23"/>
      <c r="AC315" s="23"/>
      <c r="AD315" s="23"/>
    </row>
    <row r="316" spans="2:30" hidden="1" x14ac:dyDescent="0.15">
      <c r="B316" s="2"/>
      <c r="C316" s="7"/>
      <c r="D316" s="741"/>
      <c r="E316" s="126"/>
      <c r="F316" s="741"/>
      <c r="G316" s="741"/>
      <c r="H316" s="741"/>
      <c r="I316" s="741"/>
      <c r="J316" s="741"/>
      <c r="K316" s="741"/>
      <c r="L316" s="741"/>
      <c r="M316" s="741"/>
      <c r="N316" s="741"/>
      <c r="O316" s="741"/>
      <c r="P316" s="741"/>
      <c r="Q316" s="741"/>
      <c r="R316" s="741"/>
      <c r="S316" s="741"/>
      <c r="T316" s="741"/>
      <c r="U316" s="741"/>
      <c r="V316" s="741"/>
      <c r="W316" s="741"/>
      <c r="X316" s="741"/>
      <c r="Y316" s="741"/>
      <c r="Z316" s="741"/>
      <c r="AA316" s="741"/>
      <c r="AB316" s="741"/>
      <c r="AC316" s="741"/>
      <c r="AD316" s="741"/>
    </row>
    <row r="317" spans="2:30" hidden="1" x14ac:dyDescent="0.15">
      <c r="B317" s="2"/>
      <c r="C317" s="7"/>
      <c r="D317" s="741"/>
      <c r="E317" s="741"/>
      <c r="F317" s="741"/>
      <c r="G317" s="741"/>
      <c r="H317" s="741"/>
      <c r="I317" s="741"/>
      <c r="J317" s="741"/>
      <c r="K317" s="741"/>
      <c r="L317" s="741"/>
      <c r="M317" s="741"/>
      <c r="N317" s="741"/>
      <c r="O317" s="741"/>
      <c r="P317" s="741"/>
      <c r="Q317" s="741"/>
      <c r="R317" s="741"/>
      <c r="S317" s="741"/>
      <c r="T317" s="741"/>
      <c r="U317" s="741"/>
      <c r="V317" s="741"/>
      <c r="W317" s="741"/>
      <c r="X317" s="741"/>
      <c r="Y317" s="741"/>
      <c r="Z317" s="741"/>
      <c r="AA317" s="741"/>
      <c r="AB317" s="741"/>
      <c r="AC317" s="741"/>
      <c r="AD317" s="741"/>
    </row>
    <row r="318" spans="2:30" hidden="1" x14ac:dyDescent="0.15">
      <c r="B318" s="2"/>
      <c r="C318" s="741"/>
      <c r="D318" s="741"/>
      <c r="E318" s="741"/>
      <c r="F318" s="741"/>
      <c r="G318" s="741"/>
      <c r="H318" s="741"/>
      <c r="I318" s="741"/>
      <c r="J318" s="741"/>
      <c r="K318" s="741"/>
      <c r="L318" s="741"/>
      <c r="M318" s="741"/>
      <c r="N318" s="741"/>
      <c r="O318" s="741"/>
      <c r="P318" s="741"/>
      <c r="Q318" s="741"/>
      <c r="R318" s="741"/>
      <c r="S318" s="741"/>
      <c r="T318" s="741"/>
      <c r="U318" s="741"/>
      <c r="V318" s="741"/>
      <c r="W318" s="741"/>
      <c r="X318" s="741"/>
      <c r="Y318" s="741"/>
      <c r="Z318" s="741"/>
      <c r="AA318" s="741"/>
      <c r="AB318" s="741"/>
      <c r="AC318" s="741"/>
      <c r="AD318" s="741"/>
    </row>
    <row r="319" spans="2:30" hidden="1" x14ac:dyDescent="0.15">
      <c r="B319" s="2"/>
      <c r="C319" s="9"/>
      <c r="D319" s="9"/>
      <c r="E319" s="9"/>
      <c r="F319" s="98"/>
      <c r="G319" s="98"/>
      <c r="H319" s="98"/>
      <c r="I319" s="98"/>
      <c r="J319" s="9"/>
      <c r="K319" s="98"/>
      <c r="L319" s="98"/>
      <c r="M319" s="98"/>
      <c r="N319" s="127"/>
      <c r="O319" s="127"/>
      <c r="P319" s="127"/>
      <c r="Q319" s="127"/>
      <c r="R319" s="127"/>
      <c r="S319" s="127"/>
      <c r="T319" s="127"/>
      <c r="U319" s="127"/>
      <c r="V319" s="127"/>
      <c r="W319" s="127"/>
      <c r="X319" s="127"/>
      <c r="Y319" s="127"/>
      <c r="Z319" s="127"/>
      <c r="AA319" s="127"/>
      <c r="AB319" s="127"/>
      <c r="AC319" s="127"/>
      <c r="AD319" s="127"/>
    </row>
    <row r="320" spans="2:30" hidden="1" x14ac:dyDescent="0.15">
      <c r="B320" s="2"/>
      <c r="C320" s="9"/>
      <c r="D320" s="9"/>
      <c r="E320" s="9"/>
      <c r="F320" s="98"/>
      <c r="G320" s="98"/>
      <c r="H320" s="98"/>
      <c r="I320" s="98"/>
      <c r="J320" s="9"/>
      <c r="K320" s="98"/>
      <c r="L320" s="98"/>
      <c r="M320" s="98"/>
      <c r="N320" s="127"/>
      <c r="O320" s="127"/>
      <c r="P320" s="127"/>
      <c r="Q320" s="127"/>
      <c r="R320" s="127"/>
      <c r="S320" s="127"/>
      <c r="T320" s="127"/>
      <c r="U320" s="127"/>
      <c r="V320" s="127"/>
      <c r="W320" s="127"/>
      <c r="X320" s="127"/>
      <c r="Y320" s="127"/>
      <c r="Z320" s="127"/>
      <c r="AA320" s="127"/>
      <c r="AB320" s="127"/>
      <c r="AC320" s="127"/>
      <c r="AD320" s="127"/>
    </row>
    <row r="321" spans="2:30" hidden="1" x14ac:dyDescent="0.15">
      <c r="B321" s="2"/>
      <c r="C321" s="9"/>
      <c r="D321" s="9"/>
      <c r="E321" s="9"/>
      <c r="F321" s="98"/>
      <c r="G321" s="98"/>
      <c r="H321" s="98"/>
      <c r="I321" s="98"/>
      <c r="J321" s="9"/>
      <c r="K321" s="98"/>
      <c r="L321" s="98"/>
      <c r="M321" s="98"/>
      <c r="N321" s="127"/>
      <c r="O321" s="127"/>
      <c r="P321" s="127"/>
      <c r="Q321" s="127"/>
      <c r="R321" s="127"/>
      <c r="S321" s="127"/>
      <c r="T321" s="127"/>
      <c r="U321" s="127"/>
      <c r="V321" s="127"/>
      <c r="W321" s="127"/>
      <c r="X321" s="127"/>
      <c r="Y321" s="127"/>
      <c r="Z321" s="127"/>
      <c r="AA321" s="127"/>
      <c r="AB321" s="127"/>
      <c r="AC321" s="127"/>
      <c r="AD321" s="127"/>
    </row>
    <row r="322" spans="2:30" hidden="1" x14ac:dyDescent="0.15">
      <c r="B322" s="2"/>
      <c r="C322" s="9"/>
      <c r="D322" s="9"/>
      <c r="E322" s="9"/>
      <c r="F322" s="98"/>
      <c r="G322" s="98"/>
      <c r="H322" s="98"/>
      <c r="I322" s="98"/>
      <c r="J322" s="9"/>
      <c r="K322" s="98"/>
      <c r="L322" s="98"/>
      <c r="M322" s="29"/>
      <c r="N322" s="128"/>
      <c r="O322" s="128"/>
      <c r="P322" s="128"/>
      <c r="Q322" s="128"/>
      <c r="R322" s="128"/>
      <c r="S322" s="128"/>
      <c r="T322" s="128"/>
      <c r="U322" s="128"/>
      <c r="V322" s="128"/>
      <c r="W322" s="128"/>
      <c r="X322" s="128"/>
      <c r="Y322" s="128"/>
      <c r="Z322" s="128"/>
      <c r="AA322" s="128"/>
      <c r="AB322" s="128"/>
      <c r="AC322" s="128"/>
      <c r="AD322" s="128"/>
    </row>
    <row r="323" spans="2:30" hidden="1" x14ac:dyDescent="0.15">
      <c r="B323" s="2"/>
      <c r="C323" s="9"/>
      <c r="D323" s="9"/>
      <c r="E323" s="9"/>
      <c r="F323" s="98"/>
      <c r="G323" s="98"/>
      <c r="H323" s="98"/>
      <c r="I323" s="98"/>
      <c r="J323" s="9"/>
      <c r="K323" s="98"/>
      <c r="L323" s="98"/>
      <c r="M323" s="29"/>
      <c r="N323" s="128"/>
      <c r="O323" s="128"/>
      <c r="P323" s="128"/>
      <c r="Q323" s="128"/>
      <c r="R323" s="128"/>
      <c r="S323" s="128"/>
      <c r="T323" s="128"/>
      <c r="U323" s="128"/>
      <c r="V323" s="128"/>
      <c r="W323" s="128"/>
      <c r="X323" s="128"/>
      <c r="Y323" s="128"/>
      <c r="Z323" s="128"/>
      <c r="AA323" s="128"/>
      <c r="AB323" s="128"/>
      <c r="AC323" s="128"/>
      <c r="AD323" s="128"/>
    </row>
    <row r="324" spans="2:30" hidden="1" x14ac:dyDescent="0.15">
      <c r="B324" s="2"/>
      <c r="C324" s="9"/>
      <c r="D324" s="9"/>
      <c r="E324" s="9"/>
      <c r="F324" s="98"/>
      <c r="G324" s="98"/>
      <c r="H324" s="98"/>
      <c r="I324" s="98"/>
      <c r="J324" s="9"/>
      <c r="K324" s="98"/>
      <c r="L324" s="98"/>
      <c r="M324" s="29"/>
      <c r="N324" s="128"/>
      <c r="O324" s="128"/>
      <c r="P324" s="128"/>
      <c r="Q324" s="128"/>
      <c r="R324" s="128"/>
      <c r="S324" s="128"/>
      <c r="T324" s="128"/>
      <c r="U324" s="128"/>
      <c r="V324" s="128"/>
      <c r="W324" s="128"/>
      <c r="X324" s="128"/>
      <c r="Y324" s="128"/>
      <c r="Z324" s="128"/>
      <c r="AA324" s="128"/>
      <c r="AB324" s="128"/>
      <c r="AC324" s="128"/>
      <c r="AD324" s="128"/>
    </row>
    <row r="325" spans="2:30" hidden="1" x14ac:dyDescent="0.15">
      <c r="B325" s="2"/>
      <c r="C325" s="9"/>
      <c r="D325" s="9"/>
      <c r="E325" s="9"/>
      <c r="F325" s="9"/>
      <c r="G325" s="9"/>
      <c r="H325" s="9"/>
      <c r="I325" s="9"/>
      <c r="J325" s="9"/>
      <c r="K325" s="9"/>
      <c r="L325" s="9"/>
      <c r="M325" s="2"/>
    </row>
    <row r="326" spans="2:30" hidden="1" x14ac:dyDescent="0.15">
      <c r="B326" s="2"/>
      <c r="C326" s="9"/>
      <c r="D326" s="9"/>
      <c r="E326" s="9"/>
      <c r="F326" s="9"/>
      <c r="G326" s="9"/>
      <c r="H326" s="9"/>
      <c r="I326" s="9"/>
      <c r="J326" s="9"/>
      <c r="K326" s="9"/>
      <c r="L326" s="9"/>
      <c r="M326" s="2"/>
    </row>
    <row r="327" spans="2:30" hidden="1" x14ac:dyDescent="0.15">
      <c r="B327" s="2"/>
      <c r="C327" s="9"/>
      <c r="D327" s="9"/>
      <c r="E327" s="9"/>
      <c r="F327" s="9"/>
      <c r="G327" s="9"/>
      <c r="H327" s="9"/>
      <c r="I327" s="9"/>
      <c r="J327" s="9"/>
      <c r="K327" s="9"/>
      <c r="L327" s="9"/>
      <c r="M327" s="2"/>
    </row>
    <row r="328" spans="2:30" hidden="1" x14ac:dyDescent="0.15">
      <c r="B328" s="2"/>
      <c r="C328" s="9"/>
      <c r="D328" s="9"/>
      <c r="E328" s="9"/>
      <c r="F328" s="9"/>
      <c r="G328" s="9"/>
      <c r="H328" s="9"/>
      <c r="I328" s="9"/>
      <c r="J328" s="9"/>
      <c r="K328" s="9"/>
      <c r="L328" s="9"/>
      <c r="M328" s="2"/>
    </row>
    <row r="329" spans="2:30" hidden="1" x14ac:dyDescent="0.15">
      <c r="B329" s="2"/>
      <c r="C329" s="9"/>
      <c r="D329" s="9"/>
      <c r="E329" s="9"/>
      <c r="F329" s="9"/>
      <c r="G329" s="9"/>
      <c r="H329" s="9"/>
      <c r="I329" s="9"/>
      <c r="J329" s="9"/>
      <c r="K329" s="9"/>
      <c r="L329" s="9"/>
      <c r="M329" s="2"/>
    </row>
    <row r="330" spans="2:30" hidden="1" x14ac:dyDescent="0.15">
      <c r="B330" s="2"/>
      <c r="C330" s="9"/>
      <c r="D330" s="9"/>
      <c r="E330" s="9"/>
      <c r="F330" s="9"/>
      <c r="G330" s="9"/>
      <c r="H330" s="9"/>
      <c r="I330" s="9"/>
      <c r="J330" s="9"/>
      <c r="K330" s="9"/>
      <c r="L330" s="9"/>
      <c r="M330" s="2"/>
    </row>
    <row r="331" spans="2:30" hidden="1" x14ac:dyDescent="0.15">
      <c r="B331" s="2"/>
      <c r="C331" s="9"/>
      <c r="D331" s="9"/>
      <c r="E331" s="9"/>
      <c r="F331" s="9"/>
      <c r="G331" s="9"/>
      <c r="H331" s="9"/>
      <c r="I331" s="9"/>
      <c r="J331" s="9"/>
      <c r="K331" s="9"/>
      <c r="L331" s="9"/>
      <c r="M331" s="2"/>
    </row>
    <row r="332" spans="2:30" hidden="1" x14ac:dyDescent="0.15">
      <c r="B332" s="2"/>
      <c r="C332" s="9"/>
      <c r="D332" s="9"/>
      <c r="E332" s="9"/>
      <c r="F332" s="9"/>
      <c r="G332" s="9"/>
      <c r="H332" s="9"/>
      <c r="I332" s="9"/>
      <c r="J332" s="9"/>
      <c r="K332" s="9"/>
      <c r="L332" s="9"/>
      <c r="M332" s="2"/>
    </row>
    <row r="333" spans="2:30" hidden="1" x14ac:dyDescent="0.15">
      <c r="B333" s="2"/>
      <c r="C333" s="9"/>
      <c r="D333" s="9"/>
      <c r="E333" s="9"/>
      <c r="F333" s="9"/>
      <c r="G333" s="9"/>
      <c r="H333" s="9"/>
      <c r="I333" s="9"/>
      <c r="J333" s="9"/>
      <c r="K333" s="9"/>
      <c r="L333" s="9"/>
      <c r="M333" s="2"/>
    </row>
    <row r="334" spans="2:30" hidden="1" x14ac:dyDescent="0.15">
      <c r="B334" s="2"/>
      <c r="C334" s="9"/>
      <c r="D334" s="9"/>
      <c r="E334" s="9"/>
      <c r="F334" s="9"/>
      <c r="G334" s="9"/>
      <c r="H334" s="9"/>
      <c r="I334" s="9"/>
      <c r="J334" s="9"/>
      <c r="K334" s="9"/>
      <c r="L334" s="9"/>
      <c r="M334" s="2"/>
    </row>
    <row r="335" spans="2:30" hidden="1" x14ac:dyDescent="0.15">
      <c r="B335" s="2"/>
      <c r="C335" s="9"/>
      <c r="D335" s="9"/>
      <c r="E335" s="9"/>
      <c r="F335" s="9"/>
      <c r="G335" s="9"/>
      <c r="H335" s="9"/>
      <c r="I335" s="9"/>
      <c r="J335" s="9"/>
      <c r="K335" s="9"/>
      <c r="L335" s="9"/>
      <c r="M335" s="2"/>
    </row>
    <row r="336" spans="2:30" hidden="1" x14ac:dyDescent="0.15">
      <c r="C336" s="2"/>
      <c r="D336" s="2"/>
      <c r="E336" s="2"/>
      <c r="F336" s="2"/>
      <c r="G336" s="2"/>
      <c r="H336" s="2"/>
      <c r="I336" s="2"/>
      <c r="J336" s="2"/>
      <c r="K336" s="2"/>
      <c r="L336" s="2"/>
    </row>
    <row r="337" hidden="1" x14ac:dyDescent="0.15"/>
    <row r="338" hidden="1" x14ac:dyDescent="0.15"/>
    <row r="339" hidden="1" x14ac:dyDescent="0.15"/>
    <row r="340" hidden="1" x14ac:dyDescent="0.15"/>
    <row r="341" hidden="1" x14ac:dyDescent="0.15"/>
    <row r="342" hidden="1" x14ac:dyDescent="0.15"/>
    <row r="343" hidden="1" x14ac:dyDescent="0.15"/>
    <row r="344" hidden="1" x14ac:dyDescent="0.15"/>
    <row r="345" hidden="1" x14ac:dyDescent="0.15"/>
    <row r="346" hidden="1" x14ac:dyDescent="0.15"/>
    <row r="347" hidden="1" x14ac:dyDescent="0.15"/>
    <row r="348" hidden="1" x14ac:dyDescent="0.15"/>
    <row r="349" hidden="1" x14ac:dyDescent="0.15"/>
    <row r="350" hidden="1" x14ac:dyDescent="0.15"/>
    <row r="351" hidden="1" x14ac:dyDescent="0.15"/>
    <row r="352" hidden="1" x14ac:dyDescent="0.15"/>
    <row r="353" hidden="1" x14ac:dyDescent="0.15"/>
    <row r="354" hidden="1" x14ac:dyDescent="0.15"/>
    <row r="355" hidden="1" x14ac:dyDescent="0.15"/>
    <row r="356" hidden="1" x14ac:dyDescent="0.15"/>
    <row r="357" hidden="1" x14ac:dyDescent="0.15"/>
    <row r="358" hidden="1" x14ac:dyDescent="0.15"/>
    <row r="359" hidden="1" x14ac:dyDescent="0.15"/>
    <row r="360" hidden="1" x14ac:dyDescent="0.15"/>
    <row r="361" hidden="1" x14ac:dyDescent="0.15"/>
    <row r="362" hidden="1" x14ac:dyDescent="0.15"/>
    <row r="363" hidden="1" x14ac:dyDescent="0.15"/>
    <row r="364" hidden="1" x14ac:dyDescent="0.15"/>
    <row r="365" hidden="1" x14ac:dyDescent="0.15"/>
    <row r="366" hidden="1" x14ac:dyDescent="0.15"/>
    <row r="367" hidden="1" x14ac:dyDescent="0.15"/>
    <row r="368" hidden="1" x14ac:dyDescent="0.15"/>
    <row r="369" hidden="1" x14ac:dyDescent="0.15"/>
    <row r="370" hidden="1" x14ac:dyDescent="0.15"/>
    <row r="371" hidden="1" x14ac:dyDescent="0.15"/>
    <row r="372" hidden="1" x14ac:dyDescent="0.15"/>
    <row r="373" hidden="1" x14ac:dyDescent="0.15"/>
    <row r="374" hidden="1" x14ac:dyDescent="0.15"/>
    <row r="375" hidden="1" x14ac:dyDescent="0.15"/>
    <row r="376" hidden="1" x14ac:dyDescent="0.15"/>
    <row r="377" hidden="1" x14ac:dyDescent="0.15"/>
    <row r="378" hidden="1" x14ac:dyDescent="0.15"/>
    <row r="379" hidden="1" x14ac:dyDescent="0.15"/>
    <row r="380" hidden="1" x14ac:dyDescent="0.15"/>
    <row r="381" hidden="1" x14ac:dyDescent="0.15"/>
    <row r="382" hidden="1" x14ac:dyDescent="0.15"/>
    <row r="383" hidden="1" x14ac:dyDescent="0.15"/>
    <row r="384" hidden="1" x14ac:dyDescent="0.15"/>
    <row r="385" hidden="1" x14ac:dyDescent="0.15"/>
    <row r="386" hidden="1" x14ac:dyDescent="0.15"/>
    <row r="387" hidden="1" x14ac:dyDescent="0.15"/>
    <row r="388" hidden="1" x14ac:dyDescent="0.15"/>
    <row r="389" hidden="1" x14ac:dyDescent="0.15"/>
    <row r="390" hidden="1" x14ac:dyDescent="0.15"/>
    <row r="391" hidden="1" x14ac:dyDescent="0.15"/>
    <row r="392" hidden="1" x14ac:dyDescent="0.15"/>
    <row r="393" hidden="1" x14ac:dyDescent="0.15"/>
    <row r="394" hidden="1" x14ac:dyDescent="0.15"/>
    <row r="395" hidden="1" x14ac:dyDescent="0.15"/>
    <row r="396" hidden="1" x14ac:dyDescent="0.15"/>
    <row r="397" hidden="1" x14ac:dyDescent="0.15"/>
    <row r="398" hidden="1" x14ac:dyDescent="0.15"/>
    <row r="399" hidden="1" x14ac:dyDescent="0.15"/>
    <row r="400" hidden="1" x14ac:dyDescent="0.15"/>
    <row r="401" hidden="1" x14ac:dyDescent="0.15"/>
    <row r="402" hidden="1" x14ac:dyDescent="0.15"/>
    <row r="403" hidden="1" x14ac:dyDescent="0.15"/>
    <row r="404" hidden="1" x14ac:dyDescent="0.15"/>
    <row r="405" hidden="1" x14ac:dyDescent="0.15"/>
    <row r="406" hidden="1" x14ac:dyDescent="0.15"/>
    <row r="407" hidden="1" x14ac:dyDescent="0.15"/>
    <row r="408" hidden="1" x14ac:dyDescent="0.15"/>
    <row r="409" hidden="1" x14ac:dyDescent="0.15"/>
    <row r="410" hidden="1" x14ac:dyDescent="0.15"/>
    <row r="411" hidden="1" x14ac:dyDescent="0.15"/>
    <row r="412" hidden="1" x14ac:dyDescent="0.15"/>
    <row r="413" hidden="1" x14ac:dyDescent="0.15"/>
    <row r="414" hidden="1" x14ac:dyDescent="0.15"/>
    <row r="415" hidden="1" x14ac:dyDescent="0.15"/>
    <row r="416" hidden="1" x14ac:dyDescent="0.15"/>
    <row r="417" hidden="1" x14ac:dyDescent="0.15"/>
    <row r="418" hidden="1" x14ac:dyDescent="0.15"/>
    <row r="419" hidden="1" x14ac:dyDescent="0.15"/>
    <row r="420" hidden="1" x14ac:dyDescent="0.15"/>
    <row r="421" hidden="1" x14ac:dyDescent="0.15"/>
    <row r="422" hidden="1" x14ac:dyDescent="0.15"/>
    <row r="423" hidden="1" x14ac:dyDescent="0.15"/>
    <row r="424" hidden="1" x14ac:dyDescent="0.15"/>
    <row r="425" hidden="1" x14ac:dyDescent="0.15"/>
    <row r="426" hidden="1" x14ac:dyDescent="0.15"/>
    <row r="427" hidden="1" x14ac:dyDescent="0.15"/>
    <row r="428" hidden="1" x14ac:dyDescent="0.15"/>
    <row r="429" hidden="1" x14ac:dyDescent="0.15"/>
    <row r="430" hidden="1" x14ac:dyDescent="0.15"/>
    <row r="431" hidden="1" x14ac:dyDescent="0.15"/>
    <row r="432" hidden="1" x14ac:dyDescent="0.15"/>
    <row r="433" hidden="1" x14ac:dyDescent="0.15"/>
    <row r="434" hidden="1" x14ac:dyDescent="0.15"/>
    <row r="435" hidden="1" x14ac:dyDescent="0.15"/>
    <row r="436" hidden="1" x14ac:dyDescent="0.15"/>
    <row r="437" hidden="1" x14ac:dyDescent="0.15"/>
    <row r="438" hidden="1" x14ac:dyDescent="0.15"/>
    <row r="439" hidden="1" x14ac:dyDescent="0.15"/>
    <row r="440" hidden="1" x14ac:dyDescent="0.15"/>
    <row r="441" hidden="1" x14ac:dyDescent="0.15"/>
    <row r="442" hidden="1" x14ac:dyDescent="0.15"/>
    <row r="443" hidden="1" x14ac:dyDescent="0.15"/>
    <row r="444" hidden="1" x14ac:dyDescent="0.15"/>
    <row r="445" hidden="1" x14ac:dyDescent="0.15"/>
    <row r="446" hidden="1" x14ac:dyDescent="0.15"/>
    <row r="447" hidden="1" x14ac:dyDescent="0.15"/>
    <row r="448" hidden="1" x14ac:dyDescent="0.15"/>
    <row r="449" hidden="1" x14ac:dyDescent="0.15"/>
    <row r="450" hidden="1" x14ac:dyDescent="0.15"/>
    <row r="451" hidden="1" x14ac:dyDescent="0.15"/>
    <row r="452" hidden="1" x14ac:dyDescent="0.15"/>
    <row r="453" hidden="1" x14ac:dyDescent="0.15"/>
    <row r="454" hidden="1" x14ac:dyDescent="0.15"/>
    <row r="455" hidden="1" x14ac:dyDescent="0.15"/>
    <row r="456" hidden="1" x14ac:dyDescent="0.15"/>
    <row r="457" hidden="1" x14ac:dyDescent="0.15"/>
    <row r="458" hidden="1" x14ac:dyDescent="0.15"/>
    <row r="459" hidden="1" x14ac:dyDescent="0.15"/>
    <row r="460" hidden="1" x14ac:dyDescent="0.15"/>
    <row r="461" hidden="1" x14ac:dyDescent="0.15"/>
    <row r="462" hidden="1" x14ac:dyDescent="0.15"/>
    <row r="463" hidden="1" x14ac:dyDescent="0.15"/>
    <row r="464" hidden="1" x14ac:dyDescent="0.15"/>
    <row r="465" hidden="1" x14ac:dyDescent="0.15"/>
    <row r="466" hidden="1" x14ac:dyDescent="0.15"/>
    <row r="467" hidden="1" x14ac:dyDescent="0.15"/>
    <row r="468" hidden="1" x14ac:dyDescent="0.15"/>
    <row r="469" hidden="1" x14ac:dyDescent="0.15"/>
    <row r="470" hidden="1" x14ac:dyDescent="0.15"/>
    <row r="471" hidden="1" x14ac:dyDescent="0.15"/>
    <row r="472" hidden="1" x14ac:dyDescent="0.15"/>
    <row r="473" hidden="1" x14ac:dyDescent="0.15"/>
    <row r="474" hidden="1" x14ac:dyDescent="0.15"/>
    <row r="475" hidden="1" x14ac:dyDescent="0.15"/>
    <row r="476" hidden="1" x14ac:dyDescent="0.15"/>
    <row r="477" hidden="1" x14ac:dyDescent="0.15"/>
    <row r="478" hidden="1" x14ac:dyDescent="0.15"/>
    <row r="479" hidden="1" x14ac:dyDescent="0.15"/>
    <row r="480" hidden="1" x14ac:dyDescent="0.15"/>
    <row r="481" hidden="1" x14ac:dyDescent="0.15"/>
    <row r="482" hidden="1" x14ac:dyDescent="0.15"/>
    <row r="483" hidden="1" x14ac:dyDescent="0.15"/>
    <row r="484" hidden="1" x14ac:dyDescent="0.15"/>
    <row r="485" hidden="1" x14ac:dyDescent="0.15"/>
    <row r="486" hidden="1" x14ac:dyDescent="0.15"/>
    <row r="487" hidden="1" x14ac:dyDescent="0.15"/>
    <row r="488" hidden="1" x14ac:dyDescent="0.15"/>
    <row r="489" hidden="1" x14ac:dyDescent="0.15"/>
    <row r="490" hidden="1" x14ac:dyDescent="0.15"/>
    <row r="491" hidden="1" x14ac:dyDescent="0.15"/>
    <row r="492" hidden="1" x14ac:dyDescent="0.15"/>
    <row r="493" hidden="1" x14ac:dyDescent="0.15"/>
    <row r="494" hidden="1" x14ac:dyDescent="0.15"/>
    <row r="495" hidden="1" x14ac:dyDescent="0.15"/>
    <row r="496" hidden="1" x14ac:dyDescent="0.15"/>
    <row r="497" hidden="1" x14ac:dyDescent="0.15"/>
    <row r="498" hidden="1" x14ac:dyDescent="0.15"/>
    <row r="499" hidden="1" x14ac:dyDescent="0.15"/>
    <row r="500" hidden="1" x14ac:dyDescent="0.15"/>
    <row r="501" hidden="1" x14ac:dyDescent="0.15"/>
    <row r="502" hidden="1" x14ac:dyDescent="0.15"/>
    <row r="503" hidden="1" x14ac:dyDescent="0.15"/>
    <row r="504" hidden="1" x14ac:dyDescent="0.15"/>
    <row r="505" hidden="1" x14ac:dyDescent="0.15"/>
    <row r="506" hidden="1" x14ac:dyDescent="0.15"/>
    <row r="507" hidden="1" x14ac:dyDescent="0.15"/>
    <row r="508" hidden="1" x14ac:dyDescent="0.15"/>
    <row r="509" hidden="1" x14ac:dyDescent="0.15"/>
    <row r="510" hidden="1" x14ac:dyDescent="0.15"/>
    <row r="511" hidden="1" x14ac:dyDescent="0.15"/>
    <row r="512" hidden="1" x14ac:dyDescent="0.15"/>
    <row r="513" hidden="1" x14ac:dyDescent="0.15"/>
    <row r="514" hidden="1" x14ac:dyDescent="0.15"/>
    <row r="515" hidden="1" x14ac:dyDescent="0.15"/>
    <row r="516" hidden="1" x14ac:dyDescent="0.15"/>
    <row r="517" hidden="1" x14ac:dyDescent="0.15"/>
    <row r="518" hidden="1" x14ac:dyDescent="0.15"/>
    <row r="519" hidden="1" x14ac:dyDescent="0.15"/>
    <row r="520" hidden="1" x14ac:dyDescent="0.15"/>
    <row r="521" hidden="1" x14ac:dyDescent="0.15"/>
    <row r="522" hidden="1" x14ac:dyDescent="0.15"/>
    <row r="523" hidden="1" x14ac:dyDescent="0.15"/>
    <row r="524" hidden="1" x14ac:dyDescent="0.15"/>
    <row r="525" hidden="1" x14ac:dyDescent="0.15"/>
    <row r="526" hidden="1" x14ac:dyDescent="0.15"/>
    <row r="527" hidden="1" x14ac:dyDescent="0.15"/>
    <row r="528" hidden="1" x14ac:dyDescent="0.15"/>
    <row r="529" spans="32:36" hidden="1" x14ac:dyDescent="0.15"/>
    <row r="530" spans="32:36" hidden="1" x14ac:dyDescent="0.15"/>
    <row r="531" spans="32:36" hidden="1" x14ac:dyDescent="0.15"/>
    <row r="532" spans="32:36" hidden="1" x14ac:dyDescent="0.15"/>
    <row r="533" spans="32:36" hidden="1" x14ac:dyDescent="0.15"/>
    <row r="534" spans="32:36" hidden="1" x14ac:dyDescent="0.15"/>
    <row r="535" spans="32:36" hidden="1" x14ac:dyDescent="0.15"/>
    <row r="536" spans="32:36" hidden="1" x14ac:dyDescent="0.15"/>
    <row r="537" spans="32:36" hidden="1" x14ac:dyDescent="0.15"/>
    <row r="538" spans="32:36" hidden="1" x14ac:dyDescent="0.15"/>
    <row r="539" spans="32:36" hidden="1" x14ac:dyDescent="0.15"/>
    <row r="540" spans="32:36" hidden="1" x14ac:dyDescent="0.15"/>
    <row r="541" spans="32:36" hidden="1" x14ac:dyDescent="0.15"/>
    <row r="542" spans="32:36" hidden="1" x14ac:dyDescent="0.15"/>
    <row r="543" spans="32:36" hidden="1" x14ac:dyDescent="0.15"/>
    <row r="544" spans="32:36" hidden="1" x14ac:dyDescent="0.15">
      <c r="AF544" s="5">
        <v>8</v>
      </c>
      <c r="AG544" s="5">
        <v>9</v>
      </c>
      <c r="AH544" s="5">
        <v>10</v>
      </c>
      <c r="AI544" s="5">
        <v>11</v>
      </c>
      <c r="AJ544" s="5">
        <v>12</v>
      </c>
    </row>
    <row r="545" spans="32:36" hidden="1" x14ac:dyDescent="0.15">
      <c r="AF545" s="4" t="s">
        <v>622</v>
      </c>
      <c r="AG545" s="4" t="s">
        <v>623</v>
      </c>
      <c r="AH545" s="4" t="s">
        <v>624</v>
      </c>
      <c r="AI545" s="4" t="s">
        <v>625</v>
      </c>
      <c r="AJ545" s="4" t="s">
        <v>626</v>
      </c>
    </row>
    <row r="546" spans="32:36" hidden="1" x14ac:dyDescent="0.15">
      <c r="AF546" s="4">
        <v>1000</v>
      </c>
      <c r="AG546" s="4">
        <v>814</v>
      </c>
      <c r="AH546" s="4">
        <v>979</v>
      </c>
      <c r="AI546" s="4">
        <v>814</v>
      </c>
      <c r="AJ546" s="4">
        <v>814</v>
      </c>
    </row>
    <row r="547" spans="32:36" hidden="1" x14ac:dyDescent="0.15">
      <c r="AF547" s="4">
        <v>100</v>
      </c>
      <c r="AG547" s="4">
        <v>66</v>
      </c>
      <c r="AH547" s="4">
        <v>77</v>
      </c>
      <c r="AI547" s="4">
        <v>66</v>
      </c>
      <c r="AJ547" s="4">
        <v>66</v>
      </c>
    </row>
    <row r="548" spans="32:36" hidden="1" x14ac:dyDescent="0.15">
      <c r="AF548" s="4">
        <v>800000</v>
      </c>
      <c r="AG548" s="4">
        <v>686000</v>
      </c>
      <c r="AH548" s="4">
        <v>882000</v>
      </c>
      <c r="AI548" s="4">
        <v>686000</v>
      </c>
      <c r="AJ548" s="4">
        <v>686000</v>
      </c>
    </row>
    <row r="549" spans="32:36" hidden="1" x14ac:dyDescent="0.15">
      <c r="AF549" s="4">
        <v>600</v>
      </c>
      <c r="AG549" s="4">
        <v>450</v>
      </c>
      <c r="AH549" s="4">
        <v>550</v>
      </c>
      <c r="AI549" s="4">
        <v>450</v>
      </c>
      <c r="AJ549" s="4">
        <v>450</v>
      </c>
    </row>
    <row r="550" spans="32:36" hidden="1" x14ac:dyDescent="0.15">
      <c r="AF550" s="4">
        <v>700</v>
      </c>
      <c r="AG550" s="4">
        <v>600</v>
      </c>
      <c r="AH550" s="4">
        <v>700</v>
      </c>
      <c r="AI550" s="4">
        <v>600</v>
      </c>
      <c r="AJ550" s="4">
        <v>600</v>
      </c>
    </row>
    <row r="551" spans="32:36" hidden="1" x14ac:dyDescent="0.15"/>
    <row r="552" spans="32:36" hidden="1" x14ac:dyDescent="0.15"/>
    <row r="553" spans="32:36" hidden="1" x14ac:dyDescent="0.15"/>
    <row r="554" spans="32:36" hidden="1" x14ac:dyDescent="0.15"/>
    <row r="555" spans="32:36" hidden="1" x14ac:dyDescent="0.15"/>
    <row r="556" spans="32:36" hidden="1" x14ac:dyDescent="0.15"/>
    <row r="557" spans="32:36" hidden="1" x14ac:dyDescent="0.15"/>
    <row r="558" spans="32:36" hidden="1" x14ac:dyDescent="0.15"/>
    <row r="559" spans="32:36" hidden="1" x14ac:dyDescent="0.15"/>
    <row r="560" spans="32:36" hidden="1" x14ac:dyDescent="0.15"/>
    <row r="561" hidden="1" x14ac:dyDescent="0.15"/>
    <row r="562" hidden="1" x14ac:dyDescent="0.15"/>
    <row r="563" hidden="1" x14ac:dyDescent="0.15"/>
    <row r="564" hidden="1" x14ac:dyDescent="0.15"/>
    <row r="565" hidden="1" x14ac:dyDescent="0.15"/>
    <row r="566" hidden="1" x14ac:dyDescent="0.15"/>
    <row r="567" hidden="1" x14ac:dyDescent="0.15"/>
    <row r="568" hidden="1" x14ac:dyDescent="0.15"/>
    <row r="569" hidden="1" x14ac:dyDescent="0.15"/>
    <row r="570" hidden="1" x14ac:dyDescent="0.15"/>
    <row r="571" hidden="1" x14ac:dyDescent="0.15"/>
    <row r="572" hidden="1" x14ac:dyDescent="0.15"/>
    <row r="573" hidden="1" x14ac:dyDescent="0.15"/>
    <row r="574" hidden="1" x14ac:dyDescent="0.15"/>
    <row r="575" hidden="1" x14ac:dyDescent="0.15"/>
    <row r="576" hidden="1" x14ac:dyDescent="0.15"/>
    <row r="577" hidden="1" x14ac:dyDescent="0.15"/>
    <row r="578" hidden="1" x14ac:dyDescent="0.15"/>
    <row r="579" hidden="1" x14ac:dyDescent="0.15"/>
    <row r="580" hidden="1" x14ac:dyDescent="0.15"/>
    <row r="581" hidden="1" x14ac:dyDescent="0.15"/>
    <row r="582" hidden="1" x14ac:dyDescent="0.15"/>
    <row r="583" hidden="1" x14ac:dyDescent="0.15"/>
    <row r="584" hidden="1" x14ac:dyDescent="0.15"/>
    <row r="585" hidden="1" x14ac:dyDescent="0.15"/>
    <row r="586" hidden="1" x14ac:dyDescent="0.15"/>
    <row r="587" hidden="1" x14ac:dyDescent="0.15"/>
    <row r="588" hidden="1" x14ac:dyDescent="0.15"/>
    <row r="589" hidden="1" x14ac:dyDescent="0.15"/>
    <row r="590" hidden="1" x14ac:dyDescent="0.15"/>
    <row r="591" hidden="1" x14ac:dyDescent="0.15"/>
    <row r="592" hidden="1" x14ac:dyDescent="0.15"/>
    <row r="593" hidden="1" x14ac:dyDescent="0.15"/>
    <row r="594" hidden="1" x14ac:dyDescent="0.15"/>
    <row r="595" hidden="1" x14ac:dyDescent="0.15"/>
    <row r="596" hidden="1" x14ac:dyDescent="0.15"/>
    <row r="597" hidden="1" x14ac:dyDescent="0.15"/>
    <row r="598" hidden="1" x14ac:dyDescent="0.15"/>
    <row r="599" hidden="1" x14ac:dyDescent="0.15"/>
    <row r="600" hidden="1" x14ac:dyDescent="0.15"/>
    <row r="601" hidden="1" x14ac:dyDescent="0.15"/>
    <row r="602" hidden="1" x14ac:dyDescent="0.15"/>
    <row r="603" hidden="1" x14ac:dyDescent="0.15"/>
    <row r="604" hidden="1" x14ac:dyDescent="0.15"/>
    <row r="605" hidden="1" x14ac:dyDescent="0.15"/>
    <row r="606" hidden="1" x14ac:dyDescent="0.15"/>
    <row r="607" hidden="1" x14ac:dyDescent="0.15"/>
    <row r="608" hidden="1" x14ac:dyDescent="0.15"/>
    <row r="609" hidden="1" x14ac:dyDescent="0.15"/>
    <row r="610" hidden="1" x14ac:dyDescent="0.15"/>
    <row r="611" hidden="1" x14ac:dyDescent="0.15"/>
    <row r="612" hidden="1" x14ac:dyDescent="0.15"/>
    <row r="613" hidden="1" x14ac:dyDescent="0.15"/>
    <row r="614" hidden="1" x14ac:dyDescent="0.15"/>
    <row r="615" hidden="1" x14ac:dyDescent="0.15"/>
    <row r="616" hidden="1" x14ac:dyDescent="0.15"/>
    <row r="617" hidden="1" x14ac:dyDescent="0.15"/>
    <row r="618" hidden="1" x14ac:dyDescent="0.15"/>
    <row r="619" hidden="1" x14ac:dyDescent="0.15"/>
    <row r="620" hidden="1" x14ac:dyDescent="0.15"/>
    <row r="621" hidden="1" x14ac:dyDescent="0.15"/>
    <row r="622" hidden="1" x14ac:dyDescent="0.15"/>
    <row r="623" hidden="1" x14ac:dyDescent="0.15"/>
    <row r="624" hidden="1" x14ac:dyDescent="0.15"/>
    <row r="625" hidden="1" x14ac:dyDescent="0.15"/>
    <row r="626" hidden="1" x14ac:dyDescent="0.15"/>
    <row r="627" hidden="1" x14ac:dyDescent="0.15"/>
    <row r="628" hidden="1" x14ac:dyDescent="0.15"/>
    <row r="629" hidden="1" x14ac:dyDescent="0.15"/>
    <row r="630" hidden="1" x14ac:dyDescent="0.15"/>
    <row r="631" hidden="1" x14ac:dyDescent="0.15"/>
    <row r="632" hidden="1" x14ac:dyDescent="0.15"/>
    <row r="633" hidden="1" x14ac:dyDescent="0.15"/>
    <row r="634" hidden="1" x14ac:dyDescent="0.15"/>
    <row r="635" hidden="1" x14ac:dyDescent="0.15"/>
    <row r="636" hidden="1" x14ac:dyDescent="0.15"/>
    <row r="637" hidden="1" x14ac:dyDescent="0.15"/>
    <row r="638" hidden="1" x14ac:dyDescent="0.15"/>
    <row r="639" hidden="1" x14ac:dyDescent="0.15"/>
    <row r="640" hidden="1" x14ac:dyDescent="0.15"/>
    <row r="641" hidden="1" x14ac:dyDescent="0.15"/>
    <row r="642" hidden="1" x14ac:dyDescent="0.15"/>
    <row r="643" hidden="1" x14ac:dyDescent="0.15"/>
    <row r="644" hidden="1" x14ac:dyDescent="0.15"/>
    <row r="645" hidden="1" x14ac:dyDescent="0.15"/>
    <row r="646" hidden="1" x14ac:dyDescent="0.15"/>
    <row r="647" hidden="1" x14ac:dyDescent="0.15"/>
    <row r="648" hidden="1" x14ac:dyDescent="0.15"/>
    <row r="649" hidden="1" x14ac:dyDescent="0.15"/>
    <row r="650" hidden="1" x14ac:dyDescent="0.15"/>
    <row r="651" hidden="1" x14ac:dyDescent="0.15"/>
    <row r="652" hidden="1" x14ac:dyDescent="0.15"/>
    <row r="653" hidden="1" x14ac:dyDescent="0.15"/>
    <row r="654" hidden="1" x14ac:dyDescent="0.15"/>
    <row r="655" hidden="1" x14ac:dyDescent="0.15"/>
    <row r="656" hidden="1" x14ac:dyDescent="0.15"/>
    <row r="657" hidden="1" x14ac:dyDescent="0.15"/>
    <row r="658" hidden="1" x14ac:dyDescent="0.15"/>
    <row r="659" hidden="1" x14ac:dyDescent="0.15"/>
    <row r="660" hidden="1" x14ac:dyDescent="0.15"/>
    <row r="661" hidden="1" x14ac:dyDescent="0.15"/>
    <row r="662" hidden="1" x14ac:dyDescent="0.15"/>
    <row r="663" hidden="1" x14ac:dyDescent="0.15"/>
    <row r="664" hidden="1" x14ac:dyDescent="0.15"/>
    <row r="665" hidden="1" x14ac:dyDescent="0.15"/>
    <row r="666" hidden="1" x14ac:dyDescent="0.15"/>
    <row r="667" hidden="1" x14ac:dyDescent="0.15"/>
    <row r="668" hidden="1" x14ac:dyDescent="0.15"/>
    <row r="669" hidden="1" x14ac:dyDescent="0.15"/>
    <row r="670" hidden="1" x14ac:dyDescent="0.15"/>
    <row r="671" hidden="1" x14ac:dyDescent="0.15"/>
    <row r="672" hidden="1" x14ac:dyDescent="0.15"/>
    <row r="673" hidden="1" x14ac:dyDescent="0.15"/>
    <row r="674" hidden="1" x14ac:dyDescent="0.15"/>
    <row r="675" hidden="1" x14ac:dyDescent="0.15"/>
    <row r="676" hidden="1" x14ac:dyDescent="0.15"/>
    <row r="677" hidden="1" x14ac:dyDescent="0.15"/>
    <row r="678" hidden="1" x14ac:dyDescent="0.15"/>
    <row r="679" hidden="1" x14ac:dyDescent="0.15"/>
    <row r="680" hidden="1" x14ac:dyDescent="0.15"/>
    <row r="681" hidden="1" x14ac:dyDescent="0.15"/>
    <row r="682" hidden="1" x14ac:dyDescent="0.15"/>
    <row r="683" hidden="1" x14ac:dyDescent="0.15"/>
    <row r="684" hidden="1" x14ac:dyDescent="0.15"/>
    <row r="685" hidden="1" x14ac:dyDescent="0.15"/>
    <row r="686" hidden="1" x14ac:dyDescent="0.15"/>
    <row r="687" hidden="1" x14ac:dyDescent="0.15"/>
    <row r="688" hidden="1" x14ac:dyDescent="0.15"/>
    <row r="689" hidden="1" x14ac:dyDescent="0.15"/>
    <row r="690" hidden="1" x14ac:dyDescent="0.15"/>
    <row r="691" hidden="1" x14ac:dyDescent="0.15"/>
    <row r="692" hidden="1" x14ac:dyDescent="0.15"/>
    <row r="693" hidden="1" x14ac:dyDescent="0.15"/>
    <row r="694" hidden="1" x14ac:dyDescent="0.15"/>
    <row r="695" hidden="1" x14ac:dyDescent="0.15"/>
    <row r="696" hidden="1" x14ac:dyDescent="0.15"/>
    <row r="697" hidden="1" x14ac:dyDescent="0.15"/>
    <row r="698" hidden="1" x14ac:dyDescent="0.15"/>
    <row r="699" hidden="1" x14ac:dyDescent="0.15"/>
    <row r="700" hidden="1" x14ac:dyDescent="0.15"/>
    <row r="701" hidden="1" x14ac:dyDescent="0.15"/>
    <row r="702" hidden="1" x14ac:dyDescent="0.15"/>
    <row r="703" hidden="1" x14ac:dyDescent="0.15"/>
    <row r="704" hidden="1" x14ac:dyDescent="0.15"/>
    <row r="705" hidden="1" x14ac:dyDescent="0.15"/>
    <row r="706" hidden="1" x14ac:dyDescent="0.15"/>
    <row r="707" hidden="1" x14ac:dyDescent="0.15"/>
    <row r="708" hidden="1" x14ac:dyDescent="0.15"/>
    <row r="709" hidden="1" x14ac:dyDescent="0.15"/>
    <row r="710" hidden="1" x14ac:dyDescent="0.15"/>
    <row r="711" hidden="1" x14ac:dyDescent="0.15"/>
    <row r="712" hidden="1" x14ac:dyDescent="0.15"/>
    <row r="713" hidden="1" x14ac:dyDescent="0.15"/>
    <row r="714" hidden="1" x14ac:dyDescent="0.15"/>
    <row r="715" hidden="1" x14ac:dyDescent="0.15"/>
    <row r="716" hidden="1" x14ac:dyDescent="0.15"/>
    <row r="717" hidden="1" x14ac:dyDescent="0.15"/>
    <row r="718" hidden="1" x14ac:dyDescent="0.15"/>
    <row r="719" hidden="1" x14ac:dyDescent="0.15"/>
    <row r="720" hidden="1" x14ac:dyDescent="0.15"/>
    <row r="721" hidden="1" x14ac:dyDescent="0.15"/>
    <row r="722" hidden="1" x14ac:dyDescent="0.15"/>
    <row r="723" hidden="1" x14ac:dyDescent="0.15"/>
    <row r="724" hidden="1" x14ac:dyDescent="0.15"/>
    <row r="725" hidden="1" x14ac:dyDescent="0.15"/>
    <row r="726" hidden="1" x14ac:dyDescent="0.15"/>
    <row r="727" hidden="1" x14ac:dyDescent="0.15"/>
    <row r="728" hidden="1" x14ac:dyDescent="0.15"/>
    <row r="729" hidden="1" x14ac:dyDescent="0.15"/>
    <row r="730" hidden="1" x14ac:dyDescent="0.15"/>
    <row r="731" hidden="1" x14ac:dyDescent="0.15"/>
    <row r="732" hidden="1" x14ac:dyDescent="0.15"/>
    <row r="733" hidden="1" x14ac:dyDescent="0.15"/>
    <row r="734" hidden="1" x14ac:dyDescent="0.15"/>
    <row r="735" hidden="1" x14ac:dyDescent="0.15"/>
    <row r="736" hidden="1" x14ac:dyDescent="0.15"/>
    <row r="737" hidden="1" x14ac:dyDescent="0.15"/>
    <row r="738" hidden="1" x14ac:dyDescent="0.15"/>
    <row r="739" hidden="1" x14ac:dyDescent="0.15"/>
    <row r="740" hidden="1" x14ac:dyDescent="0.15"/>
    <row r="741" hidden="1" x14ac:dyDescent="0.15"/>
    <row r="742" hidden="1" x14ac:dyDescent="0.15"/>
    <row r="743" hidden="1" x14ac:dyDescent="0.15"/>
    <row r="744" hidden="1" x14ac:dyDescent="0.15"/>
    <row r="745" hidden="1" x14ac:dyDescent="0.15"/>
    <row r="746" hidden="1" x14ac:dyDescent="0.15"/>
    <row r="747" hidden="1" x14ac:dyDescent="0.15"/>
    <row r="748" hidden="1" x14ac:dyDescent="0.15"/>
    <row r="749" hidden="1" x14ac:dyDescent="0.15"/>
    <row r="750" hidden="1" x14ac:dyDescent="0.15"/>
    <row r="751" hidden="1" x14ac:dyDescent="0.15"/>
    <row r="752" hidden="1" x14ac:dyDescent="0.15"/>
    <row r="753" spans="4:10" hidden="1" x14ac:dyDescent="0.15"/>
    <row r="754" spans="4:10" hidden="1" x14ac:dyDescent="0.15"/>
    <row r="755" spans="4:10" hidden="1" x14ac:dyDescent="0.15"/>
    <row r="756" spans="4:10" hidden="1" x14ac:dyDescent="0.15"/>
    <row r="757" spans="4:10" hidden="1" x14ac:dyDescent="0.15"/>
    <row r="758" spans="4:10" hidden="1" x14ac:dyDescent="0.15"/>
    <row r="759" spans="4:10" hidden="1" x14ac:dyDescent="0.15"/>
    <row r="760" spans="4:10" hidden="1" x14ac:dyDescent="0.15">
      <c r="D760" s="1" t="s">
        <v>7</v>
      </c>
      <c r="E760" s="2"/>
    </row>
    <row r="761" spans="4:10" hidden="1" x14ac:dyDescent="0.15">
      <c r="D761" s="1" t="s">
        <v>6</v>
      </c>
      <c r="E761" s="2"/>
    </row>
    <row r="762" spans="4:10" hidden="1" x14ac:dyDescent="0.15">
      <c r="D762" s="1" t="s">
        <v>8</v>
      </c>
      <c r="E762" s="2"/>
    </row>
    <row r="763" spans="4:10" hidden="1" x14ac:dyDescent="0.15">
      <c r="D763" s="1" t="s">
        <v>9</v>
      </c>
      <c r="E763" s="2"/>
    </row>
    <row r="764" spans="4:10" hidden="1" x14ac:dyDescent="0.15">
      <c r="D764" s="1" t="s">
        <v>627</v>
      </c>
      <c r="E764" s="2"/>
    </row>
    <row r="765" spans="4:10" hidden="1" x14ac:dyDescent="0.15">
      <c r="D765" s="1" t="s">
        <v>628</v>
      </c>
      <c r="E765" s="2"/>
    </row>
    <row r="766" spans="4:10" hidden="1" x14ac:dyDescent="0.15">
      <c r="D766" s="1" t="s">
        <v>629</v>
      </c>
      <c r="E766" s="2"/>
    </row>
    <row r="767" spans="4:10" hidden="1" x14ac:dyDescent="0.15">
      <c r="D767" s="1" t="s">
        <v>630</v>
      </c>
      <c r="E767" s="2"/>
      <c r="H767" s="2"/>
      <c r="J767" s="2"/>
    </row>
    <row r="768" spans="4:10" hidden="1" x14ac:dyDescent="0.15">
      <c r="D768" s="1" t="s">
        <v>631</v>
      </c>
      <c r="E768" s="2"/>
      <c r="I768" s="2"/>
    </row>
    <row r="769" spans="4:31" hidden="1" x14ac:dyDescent="0.15">
      <c r="D769" s="1" t="s">
        <v>632</v>
      </c>
      <c r="E769" s="2"/>
    </row>
    <row r="770" spans="4:31" hidden="1" x14ac:dyDescent="0.15">
      <c r="D770" s="1" t="s">
        <v>633</v>
      </c>
      <c r="E770" s="2"/>
    </row>
    <row r="771" spans="4:31" hidden="1" x14ac:dyDescent="0.15">
      <c r="D771" s="1" t="s">
        <v>634</v>
      </c>
      <c r="E771" s="2"/>
    </row>
    <row r="772" spans="4:31" hidden="1" x14ac:dyDescent="0.15">
      <c r="D772" s="2"/>
    </row>
    <row r="773" spans="4:31" hidden="1" x14ac:dyDescent="0.15"/>
    <row r="774" spans="4:31" hidden="1" x14ac:dyDescent="0.15"/>
    <row r="775" spans="4:31" hidden="1" x14ac:dyDescent="0.15">
      <c r="D775" s="4" t="s">
        <v>10</v>
      </c>
      <c r="E775" s="5">
        <v>1</v>
      </c>
      <c r="F775" s="5">
        <v>2</v>
      </c>
      <c r="G775" s="5">
        <v>3</v>
      </c>
      <c r="H775" s="5">
        <v>4</v>
      </c>
      <c r="I775" s="5">
        <v>5</v>
      </c>
      <c r="J775" s="5"/>
      <c r="K775" s="5">
        <v>6</v>
      </c>
      <c r="L775" s="5"/>
      <c r="M775" s="5"/>
      <c r="N775" s="5"/>
      <c r="O775" s="5"/>
      <c r="P775" s="5"/>
      <c r="Q775" s="5"/>
      <c r="R775" s="5"/>
      <c r="S775" s="5"/>
      <c r="T775" s="5"/>
      <c r="U775" s="5"/>
      <c r="V775" s="5"/>
      <c r="W775" s="5"/>
      <c r="X775" s="5"/>
      <c r="Y775" s="5"/>
      <c r="Z775" s="5"/>
      <c r="AA775" s="5"/>
      <c r="AB775" s="5"/>
      <c r="AC775" s="5"/>
      <c r="AD775" s="5"/>
      <c r="AE775" s="5">
        <v>7</v>
      </c>
    </row>
    <row r="776" spans="4:31" hidden="1" x14ac:dyDescent="0.15">
      <c r="D776" s="4"/>
      <c r="E776" s="5" t="s">
        <v>11</v>
      </c>
      <c r="F776" s="5" t="s">
        <v>12</v>
      </c>
      <c r="G776" s="5" t="s">
        <v>13</v>
      </c>
      <c r="H776" s="4" t="s">
        <v>14</v>
      </c>
      <c r="I776" s="4" t="s">
        <v>635</v>
      </c>
      <c r="J776" s="4"/>
      <c r="K776" s="4" t="s">
        <v>636</v>
      </c>
      <c r="L776" s="4"/>
      <c r="M776" s="4"/>
      <c r="N776" s="4"/>
      <c r="O776" s="4"/>
      <c r="P776" s="4"/>
      <c r="Q776" s="4"/>
      <c r="R776" s="4"/>
      <c r="S776" s="4"/>
      <c r="T776" s="4"/>
      <c r="U776" s="4"/>
      <c r="V776" s="4"/>
      <c r="W776" s="4"/>
      <c r="X776" s="4"/>
      <c r="Y776" s="4"/>
      <c r="Z776" s="4"/>
      <c r="AA776" s="4"/>
      <c r="AB776" s="4"/>
      <c r="AC776" s="4"/>
      <c r="AD776" s="4"/>
      <c r="AE776" s="4" t="s">
        <v>637</v>
      </c>
    </row>
    <row r="777" spans="4:31" hidden="1" x14ac:dyDescent="0.15">
      <c r="D777" s="6" t="s">
        <v>638</v>
      </c>
      <c r="E777" s="4">
        <v>1034</v>
      </c>
      <c r="F777" s="4">
        <v>979</v>
      </c>
      <c r="G777" s="4">
        <v>814</v>
      </c>
      <c r="H777" s="4">
        <v>1034</v>
      </c>
      <c r="I777" s="4">
        <v>979</v>
      </c>
      <c r="J777" s="4"/>
      <c r="K777" s="4">
        <v>979</v>
      </c>
      <c r="L777" s="4"/>
      <c r="M777" s="4"/>
      <c r="N777" s="4"/>
      <c r="O777" s="4"/>
      <c r="P777" s="4"/>
      <c r="Q777" s="4"/>
      <c r="R777" s="4"/>
      <c r="S777" s="4"/>
      <c r="T777" s="4"/>
      <c r="U777" s="4"/>
      <c r="V777" s="4"/>
      <c r="W777" s="4"/>
      <c r="X777" s="4"/>
      <c r="Y777" s="4"/>
      <c r="Z777" s="4"/>
      <c r="AA777" s="4"/>
      <c r="AB777" s="4"/>
      <c r="AC777" s="4"/>
      <c r="AD777" s="4"/>
      <c r="AE777" s="4">
        <v>924</v>
      </c>
    </row>
    <row r="778" spans="4:31" hidden="1" x14ac:dyDescent="0.15">
      <c r="D778" s="6" t="s">
        <v>639</v>
      </c>
      <c r="E778" s="4">
        <v>88</v>
      </c>
      <c r="F778" s="4">
        <v>77</v>
      </c>
      <c r="G778" s="4">
        <v>66</v>
      </c>
      <c r="H778" s="4">
        <v>88</v>
      </c>
      <c r="I778" s="4">
        <v>77</v>
      </c>
      <c r="J778" s="4"/>
      <c r="K778" s="4">
        <v>77</v>
      </c>
      <c r="L778" s="4"/>
      <c r="M778" s="4"/>
      <c r="N778" s="4"/>
      <c r="O778" s="4"/>
      <c r="P778" s="4"/>
      <c r="Q778" s="4"/>
      <c r="R778" s="4"/>
      <c r="S778" s="4"/>
      <c r="T778" s="4"/>
      <c r="U778" s="4"/>
      <c r="V778" s="4"/>
      <c r="W778" s="4"/>
      <c r="X778" s="4"/>
      <c r="Y778" s="4"/>
      <c r="Z778" s="4"/>
      <c r="AA778" s="4"/>
      <c r="AB778" s="4"/>
      <c r="AC778" s="4"/>
      <c r="AD778" s="4"/>
      <c r="AE778" s="4">
        <v>77</v>
      </c>
    </row>
    <row r="779" spans="4:31" hidden="1" x14ac:dyDescent="0.15">
      <c r="D779" s="6" t="s">
        <v>640</v>
      </c>
      <c r="E779" s="4">
        <v>980000</v>
      </c>
      <c r="F779" s="4">
        <v>882000</v>
      </c>
      <c r="G779" s="4">
        <v>686000</v>
      </c>
      <c r="H779" s="4">
        <v>980000</v>
      </c>
      <c r="I779" s="4">
        <v>882000</v>
      </c>
      <c r="J779" s="4"/>
      <c r="K779" s="4">
        <v>882000</v>
      </c>
      <c r="L779" s="4"/>
      <c r="M779" s="4"/>
      <c r="N779" s="4"/>
      <c r="O779" s="4"/>
      <c r="P779" s="4"/>
      <c r="Q779" s="4"/>
      <c r="R779" s="4"/>
      <c r="S779" s="4"/>
      <c r="T779" s="4"/>
      <c r="U779" s="4"/>
      <c r="V779" s="4"/>
      <c r="W779" s="4"/>
      <c r="X779" s="4"/>
      <c r="Y779" s="4"/>
      <c r="Z779" s="4"/>
      <c r="AA779" s="4"/>
      <c r="AB779" s="4"/>
      <c r="AC779" s="4"/>
      <c r="AD779" s="4"/>
      <c r="AE779" s="4">
        <v>784000</v>
      </c>
    </row>
    <row r="780" spans="4:31" hidden="1" x14ac:dyDescent="0.15">
      <c r="D780" s="6" t="s">
        <v>641</v>
      </c>
      <c r="E780" s="4">
        <v>600</v>
      </c>
      <c r="F780" s="4">
        <v>550</v>
      </c>
      <c r="G780" s="4">
        <v>450</v>
      </c>
      <c r="H780" s="4">
        <v>600</v>
      </c>
      <c r="I780" s="4">
        <v>550</v>
      </c>
      <c r="J780" s="4"/>
      <c r="K780" s="4">
        <v>550</v>
      </c>
      <c r="L780" s="4"/>
      <c r="M780" s="4"/>
      <c r="N780" s="4"/>
      <c r="O780" s="4"/>
      <c r="P780" s="4"/>
      <c r="Q780" s="4"/>
      <c r="R780" s="4"/>
      <c r="S780" s="4"/>
      <c r="T780" s="4"/>
      <c r="U780" s="4"/>
      <c r="V780" s="4"/>
      <c r="W780" s="4"/>
      <c r="X780" s="4"/>
      <c r="Y780" s="4"/>
      <c r="Z780" s="4"/>
      <c r="AA780" s="4"/>
      <c r="AB780" s="4"/>
      <c r="AC780" s="4"/>
      <c r="AD780" s="4"/>
      <c r="AE780" s="4">
        <v>500</v>
      </c>
    </row>
    <row r="781" spans="4:31" hidden="1" x14ac:dyDescent="0.15">
      <c r="D781" s="6" t="s">
        <v>607</v>
      </c>
      <c r="E781" s="4">
        <v>750</v>
      </c>
      <c r="F781" s="4">
        <v>700</v>
      </c>
      <c r="G781" s="4">
        <v>600</v>
      </c>
      <c r="H781" s="4">
        <v>750</v>
      </c>
      <c r="I781" s="4">
        <v>700</v>
      </c>
      <c r="J781" s="4"/>
      <c r="K781" s="4">
        <v>700</v>
      </c>
      <c r="L781" s="4"/>
      <c r="M781" s="4"/>
      <c r="N781" s="4"/>
      <c r="O781" s="4"/>
      <c r="P781" s="4"/>
      <c r="Q781" s="4"/>
      <c r="R781" s="4"/>
      <c r="S781" s="4"/>
      <c r="T781" s="4"/>
      <c r="U781" s="4"/>
      <c r="V781" s="4"/>
      <c r="W781" s="4"/>
      <c r="X781" s="4"/>
      <c r="Y781" s="4"/>
      <c r="Z781" s="4"/>
      <c r="AA781" s="4"/>
      <c r="AB781" s="4"/>
      <c r="AC781" s="4"/>
      <c r="AD781" s="4"/>
      <c r="AE781" s="4">
        <v>650</v>
      </c>
    </row>
    <row r="782" spans="4:31" hidden="1" x14ac:dyDescent="0.15"/>
    <row r="783" spans="4:31" hidden="1" x14ac:dyDescent="0.15"/>
    <row r="784" spans="4:31" hidden="1" x14ac:dyDescent="0.15"/>
    <row r="785" spans="3:5" hidden="1" x14ac:dyDescent="0.15">
      <c r="C785" s="3">
        <v>1</v>
      </c>
      <c r="D785" s="3" t="s">
        <v>642</v>
      </c>
      <c r="E785" s="3" t="s">
        <v>543</v>
      </c>
    </row>
    <row r="786" spans="3:5" hidden="1" x14ac:dyDescent="0.15">
      <c r="C786" s="3">
        <v>2</v>
      </c>
      <c r="D786" s="3" t="s">
        <v>642</v>
      </c>
      <c r="E786" s="3" t="s">
        <v>643</v>
      </c>
    </row>
    <row r="787" spans="3:5" hidden="1" x14ac:dyDescent="0.15">
      <c r="C787" s="3">
        <v>3</v>
      </c>
      <c r="D787" s="3" t="s">
        <v>642</v>
      </c>
      <c r="E787" s="3" t="s">
        <v>644</v>
      </c>
    </row>
    <row r="788" spans="3:5" hidden="1" x14ac:dyDescent="0.15">
      <c r="C788" s="3">
        <v>4</v>
      </c>
      <c r="D788" s="3" t="s">
        <v>645</v>
      </c>
      <c r="E788" s="3" t="s">
        <v>543</v>
      </c>
    </row>
    <row r="789" spans="3:5" hidden="1" x14ac:dyDescent="0.15">
      <c r="C789" s="3">
        <v>5</v>
      </c>
      <c r="D789" s="3" t="s">
        <v>645</v>
      </c>
      <c r="E789" s="3" t="s">
        <v>643</v>
      </c>
    </row>
    <row r="790" spans="3:5" hidden="1" x14ac:dyDescent="0.15">
      <c r="C790" s="3">
        <v>6</v>
      </c>
      <c r="D790" s="3" t="s">
        <v>645</v>
      </c>
      <c r="E790" s="3" t="s">
        <v>644</v>
      </c>
    </row>
    <row r="791" spans="3:5" hidden="1" x14ac:dyDescent="0.15">
      <c r="C791" s="3">
        <v>7</v>
      </c>
      <c r="D791" s="3" t="s">
        <v>21</v>
      </c>
      <c r="E791" s="3" t="s">
        <v>646</v>
      </c>
    </row>
    <row r="792" spans="3:5" hidden="1" x14ac:dyDescent="0.15">
      <c r="C792" s="3">
        <v>8</v>
      </c>
      <c r="D792" s="3" t="s">
        <v>21</v>
      </c>
      <c r="E792" s="3" t="s">
        <v>581</v>
      </c>
    </row>
    <row r="793" spans="3:5" hidden="1" x14ac:dyDescent="0.15">
      <c r="C793" s="3">
        <v>9</v>
      </c>
      <c r="D793" s="3" t="s">
        <v>21</v>
      </c>
      <c r="E793" s="3" t="s">
        <v>647</v>
      </c>
    </row>
    <row r="794" spans="3:5" hidden="1" x14ac:dyDescent="0.15">
      <c r="C794" s="3">
        <v>10</v>
      </c>
      <c r="D794" s="3" t="s">
        <v>21</v>
      </c>
      <c r="E794" s="3" t="s">
        <v>648</v>
      </c>
    </row>
    <row r="795" spans="3:5" hidden="1" x14ac:dyDescent="0.15">
      <c r="C795" s="3">
        <v>11</v>
      </c>
      <c r="D795" s="3" t="s">
        <v>21</v>
      </c>
      <c r="E795" s="3" t="s">
        <v>649</v>
      </c>
    </row>
    <row r="796" spans="3:5" hidden="1" x14ac:dyDescent="0.15">
      <c r="C796" s="3">
        <v>12</v>
      </c>
      <c r="D796" s="3" t="s">
        <v>21</v>
      </c>
      <c r="E796" s="3" t="s">
        <v>650</v>
      </c>
    </row>
    <row r="797" spans="3:5" hidden="1" x14ac:dyDescent="0.15">
      <c r="C797" s="3">
        <v>13</v>
      </c>
      <c r="D797" s="3" t="s">
        <v>21</v>
      </c>
      <c r="E797" s="3" t="s">
        <v>651</v>
      </c>
    </row>
  </sheetData>
  <sheetProtection password="CC2D" sheet="1" objects="1" scenarios="1"/>
  <mergeCells count="79">
    <mergeCell ref="Z2:AB2"/>
    <mergeCell ref="V3:V5"/>
    <mergeCell ref="W3:W4"/>
    <mergeCell ref="X3:X5"/>
    <mergeCell ref="Y3:Y5"/>
    <mergeCell ref="Z3:AE3"/>
    <mergeCell ref="P2:R2"/>
    <mergeCell ref="L3:L5"/>
    <mergeCell ref="M3:M4"/>
    <mergeCell ref="N3:N5"/>
    <mergeCell ref="O3:O5"/>
    <mergeCell ref="P3:U3"/>
    <mergeCell ref="F2:H2"/>
    <mergeCell ref="C67:C68"/>
    <mergeCell ref="C58:C59"/>
    <mergeCell ref="C61:C62"/>
    <mergeCell ref="C63:C64"/>
    <mergeCell ref="C65:C66"/>
    <mergeCell ref="F3:K3"/>
    <mergeCell ref="B3:B5"/>
    <mergeCell ref="C3:C4"/>
    <mergeCell ref="D3:D5"/>
    <mergeCell ref="E3:E5"/>
    <mergeCell ref="AF4:AF5"/>
    <mergeCell ref="AG4:AG6"/>
    <mergeCell ref="AH4:AH6"/>
    <mergeCell ref="AI4:AN4"/>
    <mergeCell ref="AF26:AF27"/>
    <mergeCell ref="AG26:AG28"/>
    <mergeCell ref="AH26:AH28"/>
    <mergeCell ref="AI26:AN26"/>
    <mergeCell ref="AF48:AF49"/>
    <mergeCell ref="AG48:AG50"/>
    <mergeCell ref="AH48:AH50"/>
    <mergeCell ref="AI48:AN48"/>
    <mergeCell ref="AF70:AF71"/>
    <mergeCell ref="AG70:AG72"/>
    <mergeCell ref="AH70:AH72"/>
    <mergeCell ref="AI70:AN70"/>
    <mergeCell ref="AF92:AF93"/>
    <mergeCell ref="AG92:AG94"/>
    <mergeCell ref="AH92:AH94"/>
    <mergeCell ref="AI92:AN92"/>
    <mergeCell ref="AF114:AF115"/>
    <mergeCell ref="AG114:AG116"/>
    <mergeCell ref="AH114:AH116"/>
    <mergeCell ref="AI114:AN114"/>
    <mergeCell ref="AF136:AF137"/>
    <mergeCell ref="AG136:AG138"/>
    <mergeCell ref="AH136:AH138"/>
    <mergeCell ref="AI136:AN136"/>
    <mergeCell ref="AF158:AF159"/>
    <mergeCell ref="AG158:AG160"/>
    <mergeCell ref="AH158:AH160"/>
    <mergeCell ref="AI158:AN158"/>
    <mergeCell ref="AF180:AF181"/>
    <mergeCell ref="AG180:AG182"/>
    <mergeCell ref="AH180:AH182"/>
    <mergeCell ref="AI180:AN180"/>
    <mergeCell ref="AF202:AF203"/>
    <mergeCell ref="AG202:AG204"/>
    <mergeCell ref="AH202:AH204"/>
    <mergeCell ref="AI202:AN202"/>
    <mergeCell ref="AF224:AF225"/>
    <mergeCell ref="AG224:AG226"/>
    <mergeCell ref="AH224:AH226"/>
    <mergeCell ref="AI224:AN224"/>
    <mergeCell ref="AF246:AF247"/>
    <mergeCell ref="AG246:AG248"/>
    <mergeCell ref="AH246:AH248"/>
    <mergeCell ref="AI246:AN246"/>
    <mergeCell ref="AI268:AN268"/>
    <mergeCell ref="E276:E277"/>
    <mergeCell ref="E256:E257"/>
    <mergeCell ref="AF268:AF269"/>
    <mergeCell ref="AG268:AG270"/>
    <mergeCell ref="AH268:AH270"/>
    <mergeCell ref="O256:O257"/>
    <mergeCell ref="Y256:Y257"/>
  </mergeCells>
  <phoneticPr fontId="3"/>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E827"/>
  <sheetViews>
    <sheetView showGridLines="0" showRowColHeaders="0" showZeros="0" zoomScaleNormal="100" workbookViewId="0">
      <selection activeCell="I16" sqref="I16:I17"/>
    </sheetView>
  </sheetViews>
  <sheetFormatPr defaultRowHeight="14.25" x14ac:dyDescent="0.15"/>
  <cols>
    <col min="1" max="1" width="2.25" style="3" customWidth="1"/>
    <col min="2" max="3" width="3.625" style="3" customWidth="1"/>
    <col min="4" max="5" width="4.875" style="3" customWidth="1"/>
    <col min="6" max="6" width="7.375" style="3" customWidth="1"/>
    <col min="7" max="7" width="8.5" style="3" customWidth="1"/>
    <col min="8" max="8" width="8.625" style="3" customWidth="1"/>
    <col min="9" max="9" width="9.5" style="3" bestFit="1" customWidth="1"/>
    <col min="10" max="13" width="8.625" style="3" customWidth="1"/>
    <col min="14" max="15" width="6.875" style="3" customWidth="1"/>
    <col min="16" max="16" width="8.5" style="3" customWidth="1"/>
    <col min="17" max="20" width="7.5" style="3" customWidth="1"/>
    <col min="21" max="21" width="7.125" style="3" customWidth="1"/>
    <col min="22" max="24" width="7.5" style="3" customWidth="1"/>
    <col min="25" max="25" width="9.375" style="3" customWidth="1"/>
    <col min="26" max="26" width="7.5" style="3" customWidth="1"/>
    <col min="27" max="27" width="7.25" style="3" customWidth="1"/>
    <col min="28" max="28" width="6.875" style="3" customWidth="1"/>
    <col min="29" max="29" width="7.375" style="3" customWidth="1"/>
    <col min="30" max="31" width="7" style="3" customWidth="1"/>
    <col min="32" max="32" width="6.5" style="3" customWidth="1"/>
    <col min="33" max="34" width="6.125" style="3" customWidth="1"/>
    <col min="35" max="35" width="6.5" style="3" customWidth="1"/>
    <col min="36" max="39" width="6.125" style="3" customWidth="1"/>
    <col min="40" max="40" width="6.25" style="3" customWidth="1"/>
    <col min="41" max="41" width="4.625" style="3" customWidth="1"/>
    <col min="42" max="42" width="9" style="3" customWidth="1"/>
    <col min="43" max="43" width="9.25" style="3" customWidth="1"/>
    <col min="44" max="44" width="9" style="3" customWidth="1"/>
    <col min="45" max="95" width="9" style="3" hidden="1" customWidth="1"/>
    <col min="96" max="97" width="11.625" style="3" hidden="1" customWidth="1"/>
    <col min="98" max="98" width="12.75" style="3" hidden="1" customWidth="1"/>
    <col min="99" max="103" width="9" style="3" hidden="1" customWidth="1"/>
    <col min="104" max="104" width="12.75" style="3" hidden="1" customWidth="1"/>
    <col min="105" max="109" width="9" style="3" hidden="1" customWidth="1"/>
    <col min="110" max="110" width="12.75" style="3" hidden="1" customWidth="1"/>
    <col min="111" max="149" width="9" style="3" hidden="1" customWidth="1"/>
    <col min="150" max="151" width="12.75" style="3" hidden="1" customWidth="1"/>
    <col min="152" max="152" width="9.5" style="3" hidden="1" customWidth="1"/>
    <col min="153" max="187" width="9" style="3" hidden="1" customWidth="1"/>
    <col min="188" max="198" width="9" style="3" customWidth="1"/>
    <col min="199" max="16384" width="9" style="3"/>
  </cols>
  <sheetData>
    <row r="1" spans="2:165" ht="15.95" customHeight="1" thickBot="1" x14ac:dyDescent="0.2">
      <c r="O1" s="576"/>
      <c r="P1" s="576"/>
      <c r="Q1" s="595"/>
      <c r="R1" s="576"/>
      <c r="S1" s="576"/>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row>
    <row r="2" spans="2:165" ht="15.95" customHeight="1" thickBot="1" x14ac:dyDescent="0.2">
      <c r="B2" s="1170" t="s">
        <v>193</v>
      </c>
      <c r="C2" s="1171"/>
      <c r="D2" s="209"/>
      <c r="E2" s="209"/>
      <c r="F2" s="210" t="s">
        <v>655</v>
      </c>
      <c r="G2" s="210" t="s">
        <v>656</v>
      </c>
      <c r="H2" s="210"/>
      <c r="I2" s="210"/>
      <c r="J2" s="210"/>
      <c r="K2" s="210"/>
      <c r="L2" s="210"/>
      <c r="M2" s="210"/>
      <c r="N2" s="210"/>
      <c r="O2" s="210"/>
      <c r="P2" s="210"/>
      <c r="Q2" s="210"/>
      <c r="R2" s="211"/>
      <c r="S2" s="211"/>
      <c r="T2" s="211"/>
      <c r="U2" s="211"/>
      <c r="V2" s="211"/>
      <c r="W2" s="211"/>
      <c r="X2" s="210"/>
      <c r="Y2" s="210"/>
      <c r="Z2" s="211"/>
      <c r="AA2" s="211"/>
      <c r="AB2" s="211"/>
      <c r="AC2" s="211"/>
      <c r="AD2" s="211"/>
      <c r="AE2" s="211"/>
      <c r="AF2" s="211"/>
      <c r="AG2" s="211"/>
      <c r="AH2" s="211"/>
      <c r="AI2" s="211"/>
      <c r="AJ2" s="211"/>
      <c r="AK2" s="211"/>
      <c r="AL2" s="211"/>
      <c r="AM2" s="211"/>
      <c r="AN2" s="211"/>
      <c r="AO2" s="1627"/>
      <c r="AP2" s="1348"/>
      <c r="AQ2" s="1550"/>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t="s">
        <v>1188</v>
      </c>
      <c r="CO2" s="23"/>
      <c r="CP2" s="23"/>
      <c r="CQ2" s="23"/>
      <c r="CR2" s="23"/>
      <c r="CS2" s="63"/>
      <c r="CT2" s="63"/>
      <c r="CU2" s="63"/>
      <c r="CV2" s="63"/>
      <c r="CW2" s="63"/>
      <c r="CX2" s="63"/>
      <c r="CY2" s="63"/>
      <c r="DE2" s="63"/>
      <c r="DF2" s="63"/>
      <c r="DG2" s="63"/>
      <c r="DH2" s="63"/>
      <c r="DI2" s="63"/>
      <c r="DJ2" s="63"/>
      <c r="DK2" s="63"/>
      <c r="DL2" s="63"/>
      <c r="DM2" s="63"/>
      <c r="DN2" s="63"/>
      <c r="DO2" s="72"/>
      <c r="DP2" s="73"/>
      <c r="DQ2" s="73"/>
      <c r="DR2" s="72"/>
      <c r="DS2" s="71"/>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57"/>
      <c r="EX2" s="57"/>
      <c r="EY2" s="57"/>
      <c r="EZ2" s="57"/>
      <c r="FA2" s="57"/>
      <c r="FB2" s="57"/>
      <c r="FC2" s="57"/>
      <c r="FD2" s="57"/>
      <c r="FE2" s="57"/>
      <c r="FF2" s="57"/>
      <c r="FG2" s="57"/>
      <c r="FH2" s="57"/>
    </row>
    <row r="3" spans="2:165" ht="15.95" customHeight="1" thickBot="1" x14ac:dyDescent="0.2">
      <c r="B3" s="1172" t="s">
        <v>192</v>
      </c>
      <c r="C3" s="1173"/>
      <c r="D3" s="1173"/>
      <c r="E3" s="1173"/>
      <c r="F3" s="167" t="s">
        <v>161</v>
      </c>
      <c r="G3" s="168">
        <f>IF(P3=0,0,+IF(VALUE(RIGHT(P3,4))&lt;=0.5,K637,K636))</f>
        <v>0</v>
      </c>
      <c r="H3" s="169" t="s">
        <v>162</v>
      </c>
      <c r="I3" s="170">
        <f>IF(P3=0,0,+VALUE(RIGHT(P3,4)))</f>
        <v>0</v>
      </c>
      <c r="J3" s="171" t="s">
        <v>475</v>
      </c>
      <c r="K3" s="172" t="s">
        <v>419</v>
      </c>
      <c r="L3" s="173"/>
      <c r="M3" s="174"/>
      <c r="N3" s="1350" t="s">
        <v>771</v>
      </c>
      <c r="O3" s="1351"/>
      <c r="P3" s="1525"/>
      <c r="Q3" s="1526"/>
      <c r="R3" s="1188" t="s">
        <v>207</v>
      </c>
      <c r="S3" s="1176"/>
      <c r="T3" s="1118"/>
      <c r="U3" s="175" t="s">
        <v>208</v>
      </c>
      <c r="V3" s="1535" t="s">
        <v>1543</v>
      </c>
      <c r="W3" s="1536"/>
      <c r="X3" s="1537"/>
      <c r="Y3" s="1538"/>
      <c r="Z3" s="451" t="s">
        <v>1544</v>
      </c>
      <c r="AA3" s="176"/>
      <c r="AB3" s="176"/>
      <c r="AC3" s="176"/>
      <c r="AD3" s="176"/>
      <c r="AE3" s="176"/>
      <c r="AF3" s="176"/>
      <c r="AG3" s="176"/>
      <c r="AH3" s="176"/>
      <c r="AI3" s="176"/>
      <c r="AJ3" s="176"/>
      <c r="AK3" s="302"/>
      <c r="AL3" s="302"/>
      <c r="AM3" s="302"/>
      <c r="AN3" s="302"/>
      <c r="AO3" s="1628"/>
      <c r="AP3" s="1629"/>
      <c r="AQ3" s="1630"/>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3" t="s">
        <v>1189</v>
      </c>
      <c r="CO3" s="9" t="s">
        <v>1190</v>
      </c>
      <c r="CP3" s="9" t="s">
        <v>1191</v>
      </c>
      <c r="CQ3" s="9"/>
      <c r="CR3" s="9"/>
      <c r="CS3" s="63"/>
      <c r="CT3" s="63"/>
      <c r="CU3" s="63"/>
      <c r="CV3" s="63"/>
      <c r="CW3" s="63"/>
      <c r="CX3" s="63"/>
      <c r="CY3" s="63"/>
      <c r="DE3" s="63"/>
      <c r="DF3" s="63"/>
      <c r="DG3" s="63"/>
      <c r="DH3" s="63"/>
      <c r="DI3" s="63"/>
      <c r="DJ3" s="63"/>
      <c r="DK3" s="63"/>
      <c r="DL3" s="63"/>
      <c r="DM3" s="588"/>
      <c r="DN3" s="588"/>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57"/>
      <c r="EX3" s="57"/>
      <c r="EY3" s="57"/>
      <c r="EZ3" s="57"/>
      <c r="FA3" s="57"/>
      <c r="FB3" s="57"/>
      <c r="FC3" s="57"/>
      <c r="FD3" s="57"/>
      <c r="FE3" s="57"/>
      <c r="FF3" s="57"/>
      <c r="FG3" s="57"/>
      <c r="FH3" s="57"/>
    </row>
    <row r="4" spans="2:165" ht="15.95" customHeight="1" thickBot="1" x14ac:dyDescent="0.2">
      <c r="B4" s="1235"/>
      <c r="C4" s="1382"/>
      <c r="D4" s="1382"/>
      <c r="E4" s="1382"/>
      <c r="F4" s="1172" t="s">
        <v>653</v>
      </c>
      <c r="G4" s="1174"/>
      <c r="H4" s="1178" t="s">
        <v>1207</v>
      </c>
      <c r="I4" s="1533"/>
      <c r="J4" s="1178" t="s">
        <v>1208</v>
      </c>
      <c r="K4" s="1533"/>
      <c r="L4" s="1178" t="s">
        <v>1209</v>
      </c>
      <c r="M4" s="1534"/>
      <c r="N4" s="1172" t="s">
        <v>165</v>
      </c>
      <c r="O4" s="1527"/>
      <c r="P4" s="1227" t="s">
        <v>243</v>
      </c>
      <c r="Q4" s="1228"/>
      <c r="R4" s="1228"/>
      <c r="S4" s="1228"/>
      <c r="T4" s="1228"/>
      <c r="U4" s="1228"/>
      <c r="V4" s="1228"/>
      <c r="W4" s="1228"/>
      <c r="X4" s="1228"/>
      <c r="Y4" s="1228"/>
      <c r="Z4" s="1229"/>
      <c r="AA4" s="1200" t="s">
        <v>423</v>
      </c>
      <c r="AB4" s="1196" t="s">
        <v>241</v>
      </c>
      <c r="AC4" s="1197" t="s">
        <v>199</v>
      </c>
      <c r="AD4" s="1198"/>
      <c r="AE4" s="1199"/>
      <c r="AF4" s="1227" t="s">
        <v>200</v>
      </c>
      <c r="AG4" s="1228"/>
      <c r="AH4" s="1229"/>
      <c r="AI4" s="1249" t="s">
        <v>709</v>
      </c>
      <c r="AJ4" s="1523"/>
      <c r="AK4" s="1523"/>
      <c r="AL4" s="1523"/>
      <c r="AM4" s="1523"/>
      <c r="AN4" s="1173"/>
      <c r="AO4" s="1174"/>
      <c r="AP4" s="1259" t="s">
        <v>166</v>
      </c>
      <c r="AQ4" s="1260"/>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605">
        <v>2</v>
      </c>
      <c r="CO4" s="604">
        <v>0.8</v>
      </c>
      <c r="CP4" s="606">
        <f>ROUND(CN4*CO4,1)</f>
        <v>1.6</v>
      </c>
      <c r="CQ4" s="23"/>
      <c r="CR4" s="576"/>
      <c r="CS4" s="576"/>
      <c r="CT4" s="63"/>
      <c r="CU4" s="63" t="s">
        <v>424</v>
      </c>
      <c r="CV4" s="63" t="s">
        <v>425</v>
      </c>
      <c r="CW4" s="63" t="s">
        <v>426</v>
      </c>
      <c r="CX4" s="63" t="s">
        <v>427</v>
      </c>
      <c r="CY4" s="63" t="s">
        <v>428</v>
      </c>
      <c r="CZ4" s="63" t="s">
        <v>429</v>
      </c>
      <c r="DA4" s="63" t="s">
        <v>430</v>
      </c>
      <c r="DB4" s="63" t="s">
        <v>431</v>
      </c>
      <c r="DC4" s="63" t="s">
        <v>432</v>
      </c>
      <c r="DD4" s="63" t="s">
        <v>433</v>
      </c>
      <c r="DE4" s="63" t="s">
        <v>434</v>
      </c>
      <c r="DF4" s="63" t="s">
        <v>435</v>
      </c>
      <c r="DG4" s="63" t="s">
        <v>436</v>
      </c>
      <c r="DH4" s="63" t="s">
        <v>437</v>
      </c>
      <c r="DI4" s="63" t="s">
        <v>438</v>
      </c>
      <c r="DJ4" s="63" t="s">
        <v>439</v>
      </c>
      <c r="DK4" s="63" t="s">
        <v>440</v>
      </c>
      <c r="DL4" s="63" t="s">
        <v>441</v>
      </c>
      <c r="DM4" s="63" t="s">
        <v>442</v>
      </c>
      <c r="DN4" s="63" t="s">
        <v>443</v>
      </c>
      <c r="DO4" s="63" t="s">
        <v>444</v>
      </c>
      <c r="DP4" s="63" t="s">
        <v>445</v>
      </c>
      <c r="DQ4" s="63" t="s">
        <v>446</v>
      </c>
      <c r="DR4" s="63" t="s">
        <v>447</v>
      </c>
      <c r="DS4" s="63" t="s">
        <v>448</v>
      </c>
      <c r="DT4" s="63" t="s">
        <v>449</v>
      </c>
      <c r="DU4" s="63" t="s">
        <v>450</v>
      </c>
      <c r="DV4" s="63" t="s">
        <v>451</v>
      </c>
      <c r="DW4" s="63" t="s">
        <v>452</v>
      </c>
      <c r="DX4" s="63" t="s">
        <v>453</v>
      </c>
      <c r="DY4" s="63" t="s">
        <v>454</v>
      </c>
      <c r="DZ4" s="63" t="s">
        <v>455</v>
      </c>
      <c r="EA4" s="63" t="s">
        <v>456</v>
      </c>
      <c r="EB4" s="63" t="s">
        <v>457</v>
      </c>
      <c r="EC4" s="63" t="s">
        <v>458</v>
      </c>
      <c r="ED4" s="63" t="s">
        <v>459</v>
      </c>
      <c r="EE4" s="63" t="s">
        <v>460</v>
      </c>
      <c r="EF4" s="63" t="s">
        <v>461</v>
      </c>
      <c r="EG4" s="63" t="s">
        <v>462</v>
      </c>
      <c r="EH4" s="63" t="s">
        <v>463</v>
      </c>
      <c r="EI4" s="63" t="s">
        <v>463</v>
      </c>
      <c r="EJ4" s="63"/>
      <c r="EK4" s="63"/>
      <c r="EL4" s="63"/>
      <c r="EM4" s="63"/>
      <c r="EN4" s="63"/>
      <c r="EO4" s="63"/>
      <c r="EP4" s="63"/>
      <c r="EQ4" s="63"/>
      <c r="ER4" s="63"/>
      <c r="ES4" s="63"/>
      <c r="ET4" s="63"/>
      <c r="EU4" s="63"/>
      <c r="EV4" s="63"/>
      <c r="EW4" s="57"/>
      <c r="EX4" s="57"/>
      <c r="EY4" s="57"/>
      <c r="EZ4" s="57"/>
      <c r="FA4" s="57"/>
      <c r="FB4" s="57"/>
      <c r="FC4" s="57"/>
      <c r="FD4" s="57"/>
      <c r="FF4" s="57"/>
      <c r="FG4" s="57"/>
      <c r="FH4" s="57"/>
      <c r="FI4" s="57"/>
    </row>
    <row r="5" spans="2:165" ht="15.95" customHeight="1" thickBot="1" x14ac:dyDescent="0.2">
      <c r="B5" s="1383"/>
      <c r="C5" s="1384"/>
      <c r="D5" s="1384"/>
      <c r="E5" s="1384"/>
      <c r="F5" s="1589"/>
      <c r="G5" s="1590"/>
      <c r="H5" s="1531"/>
      <c r="I5" s="1532"/>
      <c r="J5" s="1531"/>
      <c r="K5" s="1532"/>
      <c r="L5" s="1531"/>
      <c r="M5" s="1532"/>
      <c r="N5" s="1383"/>
      <c r="O5" s="1528"/>
      <c r="P5" s="1415"/>
      <c r="Q5" s="1288"/>
      <c r="R5" s="1288"/>
      <c r="S5" s="1288"/>
      <c r="T5" s="1288"/>
      <c r="U5" s="1288"/>
      <c r="V5" s="1288"/>
      <c r="W5" s="1288"/>
      <c r="X5" s="1288"/>
      <c r="Y5" s="1288"/>
      <c r="Z5" s="1289"/>
      <c r="AA5" s="1290"/>
      <c r="AB5" s="1529"/>
      <c r="AC5" s="693"/>
      <c r="AD5" s="750"/>
      <c r="AE5" s="698"/>
      <c r="AF5" s="751"/>
      <c r="AG5" s="697"/>
      <c r="AH5" s="752"/>
      <c r="AI5" s="1251"/>
      <c r="AJ5" s="1252"/>
      <c r="AK5" s="1252"/>
      <c r="AL5" s="1252"/>
      <c r="AM5" s="1252"/>
      <c r="AN5" s="1252"/>
      <c r="AO5" s="1524"/>
      <c r="AP5" s="1261"/>
      <c r="AQ5" s="1262"/>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
      <c r="CO5" s="9"/>
      <c r="CP5" s="302"/>
      <c r="CQ5" s="23"/>
      <c r="CR5" s="695"/>
      <c r="CS5" s="695"/>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57"/>
      <c r="EX5" s="57"/>
      <c r="EY5" s="57"/>
      <c r="EZ5" s="57"/>
      <c r="FA5" s="57"/>
      <c r="FB5" s="57"/>
      <c r="FC5" s="57"/>
      <c r="FD5" s="57"/>
      <c r="FF5" s="57"/>
      <c r="FG5" s="57"/>
      <c r="FH5" s="57"/>
      <c r="FI5" s="57"/>
    </row>
    <row r="6" spans="2:165" ht="15.95" customHeight="1" x14ac:dyDescent="0.15">
      <c r="B6" s="1189" t="s">
        <v>167</v>
      </c>
      <c r="C6" s="1190"/>
      <c r="D6" s="1200" t="s">
        <v>807</v>
      </c>
      <c r="E6" s="1192" t="s">
        <v>190</v>
      </c>
      <c r="F6" s="1192"/>
      <c r="G6" s="1196" t="s">
        <v>239</v>
      </c>
      <c r="H6" s="1196" t="s">
        <v>240</v>
      </c>
      <c r="I6" s="1196" t="s">
        <v>464</v>
      </c>
      <c r="J6" s="1200" t="s">
        <v>15</v>
      </c>
      <c r="K6" s="1157" t="s">
        <v>783</v>
      </c>
      <c r="L6" s="1157"/>
      <c r="M6" s="1157"/>
      <c r="N6" s="566" t="s">
        <v>188</v>
      </c>
      <c r="O6" s="696" t="s">
        <v>242</v>
      </c>
      <c r="P6" s="569" t="s">
        <v>465</v>
      </c>
      <c r="Q6" s="1307" t="s">
        <v>1154</v>
      </c>
      <c r="R6" s="1308"/>
      <c r="S6" s="1308"/>
      <c r="T6" s="1308"/>
      <c r="U6" s="1308"/>
      <c r="V6" s="1308"/>
      <c r="W6" s="1621"/>
      <c r="X6" s="1209" t="s">
        <v>1173</v>
      </c>
      <c r="Y6" s="1210"/>
      <c r="Z6" s="1211"/>
      <c r="AA6" s="1290"/>
      <c r="AB6" s="1529"/>
      <c r="AC6" s="586" t="s">
        <v>188</v>
      </c>
      <c r="AD6" s="586" t="s">
        <v>476</v>
      </c>
      <c r="AE6" s="586" t="s">
        <v>242</v>
      </c>
      <c r="AF6" s="586" t="s">
        <v>188</v>
      </c>
      <c r="AG6" s="586" t="s">
        <v>476</v>
      </c>
      <c r="AH6" s="586" t="s">
        <v>242</v>
      </c>
      <c r="AI6" s="1237">
        <v>1</v>
      </c>
      <c r="AJ6" s="1238"/>
      <c r="AK6" s="1237">
        <v>2</v>
      </c>
      <c r="AL6" s="1238"/>
      <c r="AM6" s="688" t="s">
        <v>486</v>
      </c>
      <c r="AN6" s="690" t="s">
        <v>710</v>
      </c>
      <c r="AO6" s="691" t="s">
        <v>165</v>
      </c>
      <c r="AP6" s="1261"/>
      <c r="AQ6" s="1262"/>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576"/>
      <c r="CS6" s="576"/>
      <c r="CT6" s="63"/>
      <c r="CU6" s="18" t="s">
        <v>209</v>
      </c>
      <c r="CV6" s="18" t="s">
        <v>210</v>
      </c>
      <c r="CW6" s="74" t="s">
        <v>466</v>
      </c>
      <c r="CX6" s="63" t="s">
        <v>201</v>
      </c>
      <c r="CY6" s="63" t="s">
        <v>202</v>
      </c>
      <c r="CZ6" s="1522" t="s">
        <v>168</v>
      </c>
      <c r="DA6" s="1522"/>
      <c r="DB6" s="1522"/>
      <c r="DC6" s="1522" t="s">
        <v>203</v>
      </c>
      <c r="DD6" s="1522"/>
      <c r="DE6" s="1522"/>
      <c r="DF6" s="63"/>
      <c r="DG6" s="63"/>
      <c r="DH6" s="63"/>
      <c r="DI6" s="63"/>
      <c r="DJ6" s="63"/>
      <c r="DK6" s="63"/>
      <c r="DL6" s="63" t="s">
        <v>244</v>
      </c>
      <c r="DM6" s="63"/>
      <c r="DN6" s="63">
        <f>+VALUE(RIGHT(G3,3))</f>
        <v>0</v>
      </c>
      <c r="DO6" s="63"/>
      <c r="DP6" s="63"/>
      <c r="DQ6" s="63"/>
      <c r="DR6" s="63"/>
      <c r="DS6" s="63"/>
      <c r="DT6" s="63"/>
      <c r="DU6" s="63"/>
      <c r="DV6" s="63"/>
      <c r="DW6" s="63" t="s">
        <v>236</v>
      </c>
      <c r="DX6" s="63" t="s">
        <v>237</v>
      </c>
      <c r="DY6" s="63"/>
      <c r="DZ6" s="63"/>
      <c r="EA6" s="63"/>
      <c r="EB6" s="63"/>
      <c r="EC6" s="63"/>
      <c r="ED6" s="63"/>
      <c r="EE6" s="63"/>
      <c r="EF6" s="63" t="s">
        <v>264</v>
      </c>
      <c r="EG6" s="63"/>
      <c r="EH6" s="63" t="s">
        <v>267</v>
      </c>
      <c r="EI6" s="63" t="s">
        <v>242</v>
      </c>
      <c r="EJ6" s="63"/>
      <c r="EK6" s="63"/>
      <c r="EL6" s="63"/>
      <c r="EM6" s="63"/>
      <c r="EN6" s="63"/>
      <c r="EO6" s="63"/>
      <c r="EP6" s="63"/>
      <c r="EQ6" s="63"/>
      <c r="ER6" s="63"/>
      <c r="ES6" s="63"/>
      <c r="ET6" s="63"/>
      <c r="EU6" s="63"/>
      <c r="EV6" s="63"/>
      <c r="EW6" s="63"/>
      <c r="EX6" s="57"/>
      <c r="EY6" s="57"/>
      <c r="EZ6" s="57"/>
      <c r="FA6" s="57"/>
      <c r="FB6" s="57"/>
      <c r="FC6" s="57"/>
      <c r="FD6" s="57"/>
      <c r="FE6" s="57"/>
      <c r="FF6" s="57"/>
      <c r="FG6" s="57"/>
      <c r="FH6" s="57"/>
      <c r="FI6" s="57"/>
    </row>
    <row r="7" spans="2:165" ht="15.95" customHeight="1" thickBot="1" x14ac:dyDescent="0.2">
      <c r="B7" s="389"/>
      <c r="C7" s="326" t="s">
        <v>809</v>
      </c>
      <c r="D7" s="1291"/>
      <c r="E7" s="178" t="s">
        <v>477</v>
      </c>
      <c r="F7" s="179" t="s">
        <v>478</v>
      </c>
      <c r="G7" s="1530"/>
      <c r="H7" s="1530"/>
      <c r="I7" s="1530"/>
      <c r="J7" s="1291"/>
      <c r="K7" s="459" t="s">
        <v>781</v>
      </c>
      <c r="L7" s="459" t="s">
        <v>479</v>
      </c>
      <c r="M7" s="459" t="s">
        <v>782</v>
      </c>
      <c r="N7" s="567" t="s">
        <v>476</v>
      </c>
      <c r="O7" s="689"/>
      <c r="P7" s="459" t="s">
        <v>1106</v>
      </c>
      <c r="Q7" s="459" t="s">
        <v>1265</v>
      </c>
      <c r="R7" s="459" t="s">
        <v>1269</v>
      </c>
      <c r="S7" s="459" t="s">
        <v>1270</v>
      </c>
      <c r="T7" s="459" t="s">
        <v>1260</v>
      </c>
      <c r="U7" s="459" t="s">
        <v>1268</v>
      </c>
      <c r="V7" s="459" t="s">
        <v>1151</v>
      </c>
      <c r="W7" s="459" t="s">
        <v>1153</v>
      </c>
      <c r="X7" s="567" t="s">
        <v>480</v>
      </c>
      <c r="Y7" s="567" t="s">
        <v>481</v>
      </c>
      <c r="Z7" s="567" t="s">
        <v>482</v>
      </c>
      <c r="AA7" s="694" t="s">
        <v>654</v>
      </c>
      <c r="AB7" s="1530"/>
      <c r="AC7" s="179" t="s">
        <v>483</v>
      </c>
      <c r="AD7" s="179" t="s">
        <v>484</v>
      </c>
      <c r="AE7" s="179" t="s">
        <v>485</v>
      </c>
      <c r="AF7" s="179" t="s">
        <v>483</v>
      </c>
      <c r="AG7" s="179" t="s">
        <v>484</v>
      </c>
      <c r="AH7" s="179" t="s">
        <v>485</v>
      </c>
      <c r="AI7" s="581" t="s">
        <v>1097</v>
      </c>
      <c r="AJ7" s="581" t="s">
        <v>1098</v>
      </c>
      <c r="AK7" s="581" t="s">
        <v>1099</v>
      </c>
      <c r="AL7" s="581" t="s">
        <v>1100</v>
      </c>
      <c r="AM7" s="689"/>
      <c r="AN7" s="689"/>
      <c r="AO7" s="692"/>
      <c r="AP7" s="1263"/>
      <c r="AQ7" s="1264"/>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P7" s="9" t="s">
        <v>244</v>
      </c>
      <c r="CQ7" s="9"/>
      <c r="CR7" s="23"/>
      <c r="CS7" s="9" t="s">
        <v>242</v>
      </c>
      <c r="CT7" s="63"/>
      <c r="CU7" s="63"/>
      <c r="CV7" s="63"/>
      <c r="CW7" s="63"/>
      <c r="CX7" s="588" t="s">
        <v>487</v>
      </c>
      <c r="CY7" s="588" t="s">
        <v>487</v>
      </c>
      <c r="CZ7" s="52" t="s">
        <v>488</v>
      </c>
      <c r="DA7" s="588" t="s">
        <v>489</v>
      </c>
      <c r="DB7" s="52" t="s">
        <v>490</v>
      </c>
      <c r="DC7" s="52" t="s">
        <v>491</v>
      </c>
      <c r="DD7" s="588" t="s">
        <v>492</v>
      </c>
      <c r="DE7" s="52" t="s">
        <v>493</v>
      </c>
      <c r="DF7" s="588" t="s">
        <v>494</v>
      </c>
      <c r="DG7" s="588" t="s">
        <v>495</v>
      </c>
      <c r="DH7" s="52" t="s">
        <v>496</v>
      </c>
      <c r="DI7" s="52" t="s">
        <v>497</v>
      </c>
      <c r="DJ7" s="52" t="s">
        <v>498</v>
      </c>
      <c r="DK7" s="52" t="s">
        <v>499</v>
      </c>
      <c r="DL7" s="52" t="s">
        <v>500</v>
      </c>
      <c r="DM7" s="52" t="s">
        <v>501</v>
      </c>
      <c r="DN7" s="588" t="s">
        <v>502</v>
      </c>
      <c r="DO7" s="588" t="s">
        <v>503</v>
      </c>
      <c r="DP7" s="63"/>
      <c r="DQ7" s="588" t="s">
        <v>15</v>
      </c>
      <c r="DR7" s="17" t="s">
        <v>83</v>
      </c>
      <c r="DS7" s="74" t="s">
        <v>467</v>
      </c>
      <c r="DT7" s="588" t="s">
        <v>468</v>
      </c>
      <c r="DU7" s="588" t="s">
        <v>469</v>
      </c>
      <c r="DV7" s="588" t="s">
        <v>470</v>
      </c>
      <c r="DW7" s="588" t="s">
        <v>471</v>
      </c>
      <c r="DX7" s="588" t="s">
        <v>471</v>
      </c>
      <c r="DY7" s="588" t="s">
        <v>472</v>
      </c>
      <c r="DZ7" s="588" t="s">
        <v>249</v>
      </c>
      <c r="EA7" s="588" t="s">
        <v>250</v>
      </c>
      <c r="EB7" s="588" t="s">
        <v>244</v>
      </c>
      <c r="EC7" s="63"/>
      <c r="ED7" s="63"/>
      <c r="EE7" s="63"/>
      <c r="EF7" s="63" t="s">
        <v>265</v>
      </c>
      <c r="EG7" s="63" t="s">
        <v>266</v>
      </c>
      <c r="EH7" s="63"/>
      <c r="EI7" s="588" t="s">
        <v>473</v>
      </c>
      <c r="EJ7" s="63" t="s">
        <v>474</v>
      </c>
      <c r="EK7" s="63"/>
      <c r="EL7" s="63"/>
      <c r="EM7" s="63"/>
      <c r="EN7" s="63"/>
      <c r="EO7" s="63"/>
      <c r="EP7" s="63"/>
      <c r="EQ7" s="63"/>
      <c r="ER7" s="63"/>
      <c r="ES7" s="63"/>
      <c r="ET7" s="63"/>
      <c r="EU7" s="63"/>
      <c r="EV7" s="63"/>
      <c r="EW7" s="63"/>
      <c r="EX7" s="57"/>
      <c r="EY7" s="57"/>
      <c r="EZ7" s="57"/>
      <c r="FA7" s="57"/>
      <c r="FB7" s="57"/>
      <c r="FC7" s="57"/>
      <c r="FD7" s="57"/>
      <c r="FE7" s="57"/>
      <c r="FF7" s="57"/>
      <c r="FG7" s="57"/>
      <c r="FH7" s="57"/>
      <c r="FI7" s="57"/>
    </row>
    <row r="8" spans="2:165" ht="15.95" customHeight="1" thickBot="1" x14ac:dyDescent="0.2">
      <c r="B8" s="1161" t="s">
        <v>808</v>
      </c>
      <c r="C8" s="1162" t="s">
        <v>810</v>
      </c>
      <c r="D8" s="329"/>
      <c r="E8" s="1356"/>
      <c r="F8" s="1169" t="str">
        <f>IF(E8=0,"",ROUND(SQRT(COS(DR8*1.5*PI()/180)),3))</f>
        <v/>
      </c>
      <c r="G8" s="1516"/>
      <c r="H8" s="1516"/>
      <c r="I8" s="1516"/>
      <c r="J8" s="1575"/>
      <c r="K8" s="1116"/>
      <c r="L8" s="195">
        <f>+IF(K8=0,0,"×")</f>
        <v>0</v>
      </c>
      <c r="M8" s="237">
        <f>IF(K8=0,0,+EQ8)</f>
        <v>0</v>
      </c>
      <c r="N8" s="238" t="str">
        <f t="shared" ref="N8:N41" si="0">IF(AC8=+"","",IF(AND(AC8&lt;=1,AD8&lt;=1,AF8&lt;=1,AG8&lt;=1),"OK!","NO!"))</f>
        <v/>
      </c>
      <c r="O8" s="1518">
        <f>IF(Z8=0,0,IF(AND(U8=0,X8=0),0,IF(IF(AE8&gt;=AH8,AE8,AH8)&lt;=1,"OK!","NO!")))</f>
        <v>0</v>
      </c>
      <c r="P8" s="1575"/>
      <c r="Q8" s="1620"/>
      <c r="R8" s="1620"/>
      <c r="S8" s="1616">
        <f>+IF(R8=0,0,6)</f>
        <v>0</v>
      </c>
      <c r="T8" s="1620"/>
      <c r="U8" s="1620"/>
      <c r="V8" s="195" t="str">
        <f>+I$185</f>
        <v/>
      </c>
      <c r="W8" s="1320">
        <f>IF(U8=0,0,+VLOOKUP(V8,$I$204:$J$209,2))</f>
        <v>0</v>
      </c>
      <c r="X8" s="1496"/>
      <c r="Y8" s="1311">
        <f>IF(X8=0,0,+CS8)</f>
        <v>0</v>
      </c>
      <c r="Z8" s="1313">
        <f>IF(AND(R8=0,X8=0),0,+IF(AND(VALUE(RIGHT(P8,4))=2,R8&gt;0),0,IF(AND(VALUE(RIGHT(P8,4))=1,X8&gt;0),0,CM8)))</f>
        <v>0</v>
      </c>
      <c r="AA8" s="1314">
        <f>IF(X8=0,0,IF(EI8&gt;=EJ8,EI8,EJ8))</f>
        <v>0</v>
      </c>
      <c r="AB8" s="1119"/>
      <c r="AC8" s="199" t="str">
        <f t="shared" ref="AC8:AC41" si="1">IF(M8=0,"",ROUNDUP(CZ8/DH8,2))</f>
        <v/>
      </c>
      <c r="AD8" s="199" t="str">
        <f t="shared" ref="AD8:AD41" si="2">IF(M8=0,"",ROUND(DA8/DO8,2))</f>
        <v/>
      </c>
      <c r="AE8" s="1314">
        <f>IF(F8=+"",0,IF(AND(U8=0,X8=0),0,IF(X8=0,ROUND(DB8/(DJ8*$CP$4*W8),2),ROUND(DB8/DJ8,2))))</f>
        <v>0</v>
      </c>
      <c r="AF8" s="199" t="str">
        <f t="shared" ref="AF8:AF41" si="3">IF(M8=0,"",ROUNDUP(DC8/DI8,2))</f>
        <v/>
      </c>
      <c r="AG8" s="199" t="str">
        <f t="shared" ref="AG8:AG41" si="4">IF(M8=0,"",ROUNDUP(DD8/DU8,2))</f>
        <v/>
      </c>
      <c r="AH8" s="1314">
        <f>IF(F8=+"",0,IF(AND(U8=0,X8=0),0,IF(X8=0,ROUND(DE8/(DK8*$CP$4*W8),2),ROUND(DE8/DK8,2))))</f>
        <v>0</v>
      </c>
      <c r="AI8" s="816"/>
      <c r="AJ8" s="807"/>
      <c r="AK8" s="821"/>
      <c r="AL8" s="808"/>
      <c r="AM8" s="1304">
        <f>IF(AI8=0,0,ROUND(AI8*AJ8+AK8*AL8+AI9*AJ9+AK9*AL9,2))</f>
        <v>0</v>
      </c>
      <c r="AN8" s="1304">
        <f>IF(AJ8=0,0,IF(CO8=1,CN8/($CP$4*W8),CN8))</f>
        <v>0</v>
      </c>
      <c r="AO8" s="1317" t="str">
        <f>IF(AN8=0,"",IF(AN8&lt;=1,"OK!","NO!"))</f>
        <v/>
      </c>
      <c r="AP8" s="182">
        <f>+IF(I8=0,0,"1/")</f>
        <v>0</v>
      </c>
      <c r="AQ8" s="183">
        <f>IF(I8=0,0,+DN8)</f>
        <v>0</v>
      </c>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1313">
        <f>IF(AND(U8=0,X8=0),0,IF(U8&gt;0,I$196/100*$CP$4*W8,ROUND(POWER(X8*Y8,2)/(K8/10*M8/10),2)))</f>
        <v>0</v>
      </c>
      <c r="CN8" s="1304" t="str">
        <f>IF($AJ8=0,"",IF($EC8&gt;=$EE8,$EC8,$EE8))</f>
        <v/>
      </c>
      <c r="CO8" s="552">
        <f>IF(P8=0,0,+VALUE(RIGHT(P8,4)))</f>
        <v>0</v>
      </c>
      <c r="CP8" s="9" t="e">
        <f>ROUNDUP(CX8*I8*100/2/DL8,2)</f>
        <v>#VALUE!</v>
      </c>
      <c r="CQ8" s="9" t="e">
        <f>ROUNDUP(CY8*I8*100/2/DM8,2)</f>
        <v>#VALUE!</v>
      </c>
      <c r="CR8" s="23" t="e">
        <f t="shared" ref="CR8:CR21" si="5">IF(CP8&gt;=CQ8,CP8,CQ8)</f>
        <v>#VALUE!</v>
      </c>
      <c r="CS8" s="9">
        <f>IF(M8=0,0,ROUNDUP(SQRT((AA8*K8/10*M8/10)/(X8*X8)),2))</f>
        <v>0</v>
      </c>
      <c r="CT8" s="75"/>
      <c r="CU8" s="63">
        <f t="shared" ref="CU8:CU21" si="6">ROUNDUP(IF(VALUE(RIGHT($G$3,3))=1,CV8*0.7,0),0)</f>
        <v>0</v>
      </c>
      <c r="CV8" s="63" t="e">
        <f>ROUNDUP(IF(VALUE(RIGHT($G$3,4))=1,$I$3*30*F8*100,$I$3*20*F8*100),0)</f>
        <v>#VALUE!</v>
      </c>
      <c r="CW8" s="63"/>
      <c r="CX8" s="63">
        <f>ROUNDUP((準備!$G$57/100/DS8+IF(AND(VALUE(RIGHT($G$3,4))=1,$T$3=2),CU8/100*1.2,CU8/100))*(G8+H8)/2,2)</f>
        <v>0</v>
      </c>
      <c r="CY8" s="63" t="e">
        <f>ROUNDUP((準備!$G$57/100/DS8+IF(AND(VALUE(RIGHT($G$3,4))=1,$T$3=2),CV8/100*1.2,CV8/100))*(G8+H8)/2,2)</f>
        <v>#VALUE!</v>
      </c>
      <c r="CZ8" s="63" t="e">
        <f>ROUNDUP(CX8*POWER(I8*100,2)/8/DF8,1)</f>
        <v>#DIV/0!</v>
      </c>
      <c r="DA8" s="63" t="e">
        <f>ROUNDUP(5*$CX8*POWER($I8*100,4)/(384*VLOOKUP(VALUE(RIGHT($J8,4)),許容応力!$B$6:$K$22,10)*100*$DG8),2)</f>
        <v>#VALUE!</v>
      </c>
      <c r="DB8" s="63" t="e">
        <f>ROUND(CX8*I8*100/2/Z8,1)</f>
        <v>#DIV/0!</v>
      </c>
      <c r="DC8" s="63" t="e">
        <f>ROUNDUP(CY8*POWER(I8*100,2)/8/DF8,1)</f>
        <v>#VALUE!</v>
      </c>
      <c r="DD8" s="63" t="e">
        <f>ROUNDUP(5*$CY8*POWER($I8*100,4)/(384*VLOOKUP(VALUE(RIGHT($J8,4)),許容応力!$B$6:$K$22,10)*100*$DG8),2)</f>
        <v>#VALUE!</v>
      </c>
      <c r="DE8" s="63" t="e">
        <f>ROUND(CY8*I8*100/2/Z8,1)</f>
        <v>#VALUE!</v>
      </c>
      <c r="DF8" s="63">
        <f>ROUNDDOWN(K8/10*POWER(M8/10,2)/6*IF(OR(AB8=0,AB8=1),1,AB8),0)</f>
        <v>0</v>
      </c>
      <c r="DG8" s="63">
        <f>ROUNDDOWN(K8/10*POWER(M8/10,3)/12*IF(OR(AB8=0,AB8=1),1,AB8),0)</f>
        <v>0</v>
      </c>
      <c r="DH8" s="10" t="e">
        <f>IF($DN$6=2,ROUND(VLOOKUP(DQ8,許容応力!$B$6:$K$22,7)*1.1/3*100,0),ROUND(VLOOKUP(DQ8,許容応力!$B$6:$K$22,7)*1.1/3*1.3*100,0))</f>
        <v>#VALUE!</v>
      </c>
      <c r="DI8" s="63" t="e">
        <f>ROUND(VLOOKUP(DQ8,許容応力!$B$6:$K$22,7)*100*2/3*0.8,0)</f>
        <v>#VALUE!</v>
      </c>
      <c r="DJ8" s="10" t="e">
        <f>IF($DN$6=2,ROUND(VLOOKUP(DQ8,許容応力!$B$6:$K$22,8)*1.1/3*100,0),ROUND(VLOOKUP(DQ8,許容応力!$B$6:$K$22,8)*1.1/3*1.3*100,0))</f>
        <v>#VALUE!</v>
      </c>
      <c r="DK8" s="63" t="e">
        <f>ROUND(VLOOKUP(DQ8,許容応力!$B$6:$K$22,8)*100*2/3*0.8,0)</f>
        <v>#VALUE!</v>
      </c>
      <c r="DL8" s="10" t="e">
        <f>IF($DN$6=2,ROUND(VLOOKUP(DQ8,許容応力!$B$6:$K$22,9)*1.1/3*100,0),ROUND(VLOOKUP(DQ8,許容応力!$B$6:$K$22,9)*1.1/3*1.3*100,0))</f>
        <v>#VALUE!</v>
      </c>
      <c r="DM8" s="63" t="e">
        <f>ROUND(VLOOKUP(DQ8,許容応力!$B$6:$K$22,9)*100*2/3*0.8,0)</f>
        <v>#VALUE!</v>
      </c>
      <c r="DN8" s="63">
        <f t="shared" ref="DN8:DN39" si="7">IF($DN$6=2,400,200)</f>
        <v>200</v>
      </c>
      <c r="DO8" s="63">
        <f>ROUND(I8*100/DN8,2)</f>
        <v>0</v>
      </c>
      <c r="DP8" s="63"/>
      <c r="DQ8" s="63" t="e">
        <f>+VALUE(RIGHT(J8,3))</f>
        <v>#VALUE!</v>
      </c>
      <c r="DR8" s="69">
        <f>ROUND(ATAN(E8/10)*180/PI(),4)</f>
        <v>0</v>
      </c>
      <c r="DS8" s="70">
        <f t="shared" ref="DS8:DS21" si="8">ROUND(COS(DR8*PI()/180),3)</f>
        <v>1</v>
      </c>
      <c r="DT8" s="63">
        <f>VLOOKUP(VALUE(RIGHT(C8,4)),$C$632:$F$641,4)</f>
        <v>200</v>
      </c>
      <c r="DU8" s="63">
        <f>ROUND(I8*100/DT8,2)</f>
        <v>0</v>
      </c>
      <c r="DV8" s="63"/>
      <c r="DW8" s="87"/>
      <c r="DX8" s="87" t="e">
        <f>ROUNDUP((準備!$F$60/100+準備!$E$48/100)*($G8+$H8)/2,2)</f>
        <v>#N/A</v>
      </c>
      <c r="DY8" s="63"/>
      <c r="DZ8" s="63"/>
      <c r="EA8" s="63"/>
      <c r="EB8" s="63" t="e">
        <f>ROUND(CX8*I8*100/2/AM8,1)</f>
        <v>#DIV/0!</v>
      </c>
      <c r="EC8" s="63" t="e">
        <f t="shared" ref="EC8:EC21" si="9">ROUND(EB8/DL8,2)</f>
        <v>#DIV/0!</v>
      </c>
      <c r="ED8" s="63" t="e">
        <f>ROUND(CY8*I8*100/2/AM8,1)</f>
        <v>#VALUE!</v>
      </c>
      <c r="EE8" s="63" t="e">
        <f t="shared" ref="EE8:EE21" si="10">ROUND(ED8/DM8,2)</f>
        <v>#VALUE!</v>
      </c>
      <c r="EF8" s="588" t="s">
        <v>504</v>
      </c>
      <c r="EG8" s="588" t="s">
        <v>504</v>
      </c>
      <c r="EH8" s="588" t="s">
        <v>487</v>
      </c>
      <c r="EI8" s="63" t="str">
        <f>IF(M8=0,"",ROUND(CX8*I8*100/2/DJ8,2))</f>
        <v/>
      </c>
      <c r="EJ8" s="63" t="str">
        <f>IF(M8=0,"",ROUND(CY8*I8*100/2/DK8,2))</f>
        <v/>
      </c>
      <c r="EK8" s="63"/>
      <c r="EL8" s="63" t="e">
        <f>ROUNDUP(ER8/3,-1)*3</f>
        <v>#VALUE!</v>
      </c>
      <c r="EM8" s="63" t="e">
        <f>ROUNDUP(ES8/3,-1)*3</f>
        <v>#VALUE!</v>
      </c>
      <c r="EO8" s="63" t="e">
        <f>ROUNDUP(EU8/3,-1)*3</f>
        <v>#VALUE!</v>
      </c>
      <c r="EP8" s="63" t="e">
        <f>ROUNDUP(EV8/3,-1)*3</f>
        <v>#VALUE!</v>
      </c>
      <c r="EQ8" s="155" t="e">
        <f t="shared" ref="EQ8:EQ21" si="11">+MAX(EL8:EP8)</f>
        <v>#VALUE!</v>
      </c>
      <c r="ER8" s="63" t="e">
        <f>ROUND(SQRT(ROUND(EW8/DH8*6/(K8/10)/IF(AB8=0,1,AB8),1))*10,0)</f>
        <v>#VALUE!</v>
      </c>
      <c r="ES8" s="3" t="e">
        <f>POWER(ROUND(EX8/(K8/10)*12,0)/IF(AB8=0,1,AB8)/DO8,1/3)*10</f>
        <v>#VALUE!</v>
      </c>
      <c r="ET8" s="63"/>
      <c r="EU8" s="63" t="e">
        <f>ROUND(SQRT(ROUND(EZ8/DI8*6/(K8/10)/IF(AB8=0,1,AB8),1))*10,2)</f>
        <v>#VALUE!</v>
      </c>
      <c r="EV8" s="3" t="e">
        <f>POWER(ROUND(FA8/(K8/10)*12,0)/IF(AB8=0,1,AB8)/DU8,1/3)*10</f>
        <v>#VALUE!</v>
      </c>
      <c r="EW8" s="63">
        <f>ROUNDUP(CX8*POWER(I8*100,2)/8,1)</f>
        <v>0</v>
      </c>
      <c r="EX8" s="63" t="e">
        <f>ROUNDUP(5*$CX8*POWER($I8*100,4)/(384*VLOOKUP(VALUE(RIGHT($J8,4)),許容応力!$B$6:$K$22,10)*100),2)</f>
        <v>#VALUE!</v>
      </c>
      <c r="EY8" s="63"/>
      <c r="EZ8" s="63" t="e">
        <f>ROUNDUP(CY8*POWER(I8*100,2)/8,1)</f>
        <v>#VALUE!</v>
      </c>
      <c r="FA8" s="63" t="e">
        <f>ROUNDUP(5*$CY8*POWER($I8*100,4)/(384*VLOOKUP(VALUE(RIGHT($J8,4)),許容応力!$B$6:$K$22,10)*100),2)</f>
        <v>#VALUE!</v>
      </c>
      <c r="FB8" s="63"/>
      <c r="FC8" s="57"/>
      <c r="FD8" s="57"/>
      <c r="FE8" s="57"/>
      <c r="FF8" s="57"/>
      <c r="FG8" s="57"/>
      <c r="FH8" s="57"/>
      <c r="FI8" s="57"/>
    </row>
    <row r="9" spans="2:165" ht="15.95" customHeight="1" thickBot="1" x14ac:dyDescent="0.2">
      <c r="B9" s="1161"/>
      <c r="C9" s="1163"/>
      <c r="D9" s="330"/>
      <c r="E9" s="1357"/>
      <c r="F9" s="1166"/>
      <c r="G9" s="1359"/>
      <c r="H9" s="1359"/>
      <c r="I9" s="1359"/>
      <c r="J9" s="1521"/>
      <c r="K9" s="1193">
        <f>+IF(J8=0,0,"丸太末口 φ")</f>
        <v>0</v>
      </c>
      <c r="L9" s="1194"/>
      <c r="M9" s="239">
        <f>IF(J8=0,0,+EQ9)</f>
        <v>0</v>
      </c>
      <c r="N9" s="240" t="str">
        <f t="shared" si="0"/>
        <v/>
      </c>
      <c r="O9" s="1519"/>
      <c r="P9" s="1478"/>
      <c r="Q9" s="1572"/>
      <c r="R9" s="1572"/>
      <c r="S9" s="1617"/>
      <c r="T9" s="1572"/>
      <c r="U9" s="1572"/>
      <c r="V9" s="1019" t="str">
        <f>+I184</f>
        <v/>
      </c>
      <c r="W9" s="1321"/>
      <c r="X9" s="1507"/>
      <c r="Y9" s="1312"/>
      <c r="Z9" s="1312"/>
      <c r="AA9" s="1254"/>
      <c r="AB9" s="1120"/>
      <c r="AC9" s="206" t="str">
        <f t="shared" si="1"/>
        <v/>
      </c>
      <c r="AD9" s="206" t="str">
        <f t="shared" si="2"/>
        <v/>
      </c>
      <c r="AE9" s="1254"/>
      <c r="AF9" s="206" t="str">
        <f t="shared" si="3"/>
        <v/>
      </c>
      <c r="AG9" s="206" t="str">
        <f t="shared" si="4"/>
        <v/>
      </c>
      <c r="AH9" s="1470"/>
      <c r="AI9" s="817"/>
      <c r="AJ9" s="809"/>
      <c r="AK9" s="822"/>
      <c r="AL9" s="810"/>
      <c r="AM9" s="1301"/>
      <c r="AN9" s="1301"/>
      <c r="AO9" s="1303"/>
      <c r="AP9" s="184">
        <f>+IF(I8=0,0,"1/")</f>
        <v>0</v>
      </c>
      <c r="AQ9" s="185">
        <f>IF(I8=0,0,+DN9)</f>
        <v>0</v>
      </c>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1312"/>
      <c r="CN9" s="1301"/>
      <c r="CO9" s="548"/>
      <c r="CP9" s="9" t="e">
        <f>ROUNDUP(CX9*I8*100/2/DL9,2)</f>
        <v>#VALUE!</v>
      </c>
      <c r="CQ9" s="9" t="e">
        <f>ROUNDUP(CY9*I8*100/2/DM9,2)</f>
        <v>#VALUE!</v>
      </c>
      <c r="CR9" s="23" t="e">
        <f t="shared" si="5"/>
        <v>#VALUE!</v>
      </c>
      <c r="CS9" s="9">
        <f>IF(M9=0,0,ROUNDUP(SQRT(AA9*(M9/10-6)*(M9/10-3))/(X9*X9),2))</f>
        <v>0</v>
      </c>
      <c r="CT9" s="63"/>
      <c r="CU9" s="63">
        <f t="shared" si="6"/>
        <v>0</v>
      </c>
      <c r="CV9" s="63" t="e">
        <f>ROUNDUP(IF(VALUE(RIGHT($G$3,4))=1,$I$3*30*F8*100,$I$3*20*F8*100),0)</f>
        <v>#VALUE!</v>
      </c>
      <c r="CW9" s="63"/>
      <c r="CX9" s="63">
        <f>ROUNDUP((準備!$G$57/100/DS9+IF(AND(VALUE(RIGHT($G$3,4))=1,$T$3=2),CU9/100*1.2,CU9/100))*(G8+H8)/2,2)</f>
        <v>0</v>
      </c>
      <c r="CY9" s="63" t="e">
        <f>ROUNDUP((準備!$G$57/100/DS9+IF(AND(VALUE(RIGHT($G$3,4))=1,$T$3=2),CV9/100*1.2,CV9/100))*(G8+H8)/2,2)</f>
        <v>#VALUE!</v>
      </c>
      <c r="CZ9" s="63">
        <f>IF($K9=0,0,ROUNDUP($CX9*POWER($I8*100,2)/8/$DF9,1))</f>
        <v>0</v>
      </c>
      <c r="DA9" s="63">
        <f>IF($K9=0,0,ROUNDUP(5*$CX9*POWER($I8*100,4)/(384*VLOOKUP(VALUE(RIGHT($J8,4)),許容応力!$L$6:$U$22,10)*100*$DG9),2))</f>
        <v>0</v>
      </c>
      <c r="DB9" s="63" t="e">
        <f>ROUND((CX9*I8*100/2+EA9)/Z9,1)</f>
        <v>#DIV/0!</v>
      </c>
      <c r="DC9" s="63" t="e">
        <f>ROUNDUP($CY9*POWER($I8*100,2)/8/$DF9,1)</f>
        <v>#VALUE!</v>
      </c>
      <c r="DD9" s="63" t="e">
        <f>ROUNDUP(5*$CY9*POWER($I8*100,4)/(384*VLOOKUP(VALUE(RIGHT($J8,4)),許容応力!$L$6:$U$22,10)*100*$DG9),2)</f>
        <v>#VALUE!</v>
      </c>
      <c r="DE9" s="63" t="e">
        <f>ROUND((CY9*I8*100/2+EA9)/Z9,1)</f>
        <v>#VALUE!</v>
      </c>
      <c r="DF9" s="63">
        <f>IF(M9&lt;180,ROUND((M9/10-3)*POWER(M9/10-3,2)/6*IF(AB9=0,1,AB9),0),ROUND((M9/10-5)*POWER(M9/10-3,2)/6*IF($AB9=0,1,$AB9),0))</f>
        <v>-5</v>
      </c>
      <c r="DG9" s="63">
        <f>ROUND(IF(M9&lt;180,(M9/10-3)*POWER((M9/10-3),3)/12*IF(AB9=0,1,AB9),(M9/10-5))*POWER((M9/10-3),3)/12*IF(AB9=0,1,AB9),0)</f>
        <v>-15</v>
      </c>
      <c r="DH9" s="10" t="e">
        <f>IF($DN$6=2,ROUND(VLOOKUP(DQ9,許容応力!$L$6:$U$22,7)*1.1/3*100,0),ROUND(VLOOKUP(DQ9,許容応力!$L$6:$U$22,7)*1.1/3*1.3*100,0))</f>
        <v>#VALUE!</v>
      </c>
      <c r="DI9" s="63" t="e">
        <f>ROUND(VLOOKUP(DQ9,許容応力!$L$6:$U$22,7)*100*2/3*0.8,0)</f>
        <v>#VALUE!</v>
      </c>
      <c r="DJ9" s="10" t="e">
        <f>IF($DN$6=2,ROUND(VLOOKUP(DQ9,許容応力!$L$6:$U$22,8)*1.1/3*100,0),ROUND(VLOOKUP(DQ9,許容応力!$L$6:$U$22,8)*1.1/3*1.3*100,0))</f>
        <v>#VALUE!</v>
      </c>
      <c r="DK9" s="63" t="e">
        <f>ROUND(VLOOKUP(DQ9,許容応力!$L$6:$U$22,8)*100*2/3*0.8,0)</f>
        <v>#VALUE!</v>
      </c>
      <c r="DL9" s="10" t="e">
        <f>IF($DN$6=2,ROUND(VLOOKUP(DQ9,許容応力!$L$6:$U$22,9)*1.1/3*100,0),ROUND(VLOOKUP(DQ9,許容応力!$L$6:$U$22,9)*1.1/3*1.3*100,0))</f>
        <v>#VALUE!</v>
      </c>
      <c r="DM9" s="63" t="e">
        <f>ROUND(VLOOKUP(DQ9,許容応力!$L$6:$U$22,9)*100*2/3*0.8,0)</f>
        <v>#VALUE!</v>
      </c>
      <c r="DN9" s="63">
        <f t="shared" si="7"/>
        <v>200</v>
      </c>
      <c r="DO9" s="63">
        <f>ROUND(I8*100/DN9,2)</f>
        <v>0</v>
      </c>
      <c r="DP9" s="63"/>
      <c r="DQ9" s="63" t="e">
        <f>+VALUE(RIGHT(J8,3))</f>
        <v>#VALUE!</v>
      </c>
      <c r="DR9" s="69">
        <f>ROUND(ATAN(E8/10)*180/PI(),4)</f>
        <v>0</v>
      </c>
      <c r="DS9" s="70">
        <f t="shared" si="8"/>
        <v>1</v>
      </c>
      <c r="DT9" s="63">
        <f>VLOOKUP(VALUE(RIGHT(C8,4)),$C$632:$F$641,4)</f>
        <v>200</v>
      </c>
      <c r="DU9" s="63">
        <f>ROUND(I8*100/DT9,2)</f>
        <v>0</v>
      </c>
      <c r="DV9" s="63"/>
      <c r="DW9" s="78"/>
      <c r="DX9" s="78" t="e">
        <f>ROUNDUP((準備!$F$60/100+準備!$E$48/100)*($G8+$H8)/2,2)</f>
        <v>#N/A</v>
      </c>
      <c r="DY9" s="71">
        <f>IF(I8&lt;6,POWER(M9/10,2)*I8/10000,POWER((M9/10+(ROUNDDOWN(I8,0)-4)/2),2)*I8/10000)</f>
        <v>0</v>
      </c>
      <c r="DZ9" s="63">
        <v>200</v>
      </c>
      <c r="EA9" s="84">
        <f>ROUND(DY9*DZ9/100,0)</f>
        <v>0</v>
      </c>
      <c r="EB9" s="63" t="e">
        <f>ROUND((CX9*I8*100/2+EA9)/AM9,1)</f>
        <v>#DIV/0!</v>
      </c>
      <c r="EC9" s="63" t="e">
        <f t="shared" si="9"/>
        <v>#DIV/0!</v>
      </c>
      <c r="ED9" s="63" t="e">
        <f>ROUND((CY9*I8*100/2+EA9)/AM9,1)</f>
        <v>#VALUE!</v>
      </c>
      <c r="EE9" s="63" t="e">
        <f t="shared" si="10"/>
        <v>#VALUE!</v>
      </c>
      <c r="EF9" s="63"/>
      <c r="EG9" s="63"/>
      <c r="EH9" s="63"/>
      <c r="EI9" s="63" t="str">
        <f>IF(M9=0,"",ROUND(CX9*I8*100/2/DJ9,2))</f>
        <v/>
      </c>
      <c r="EJ9" s="63" t="str">
        <f>IF(M9=0,"",ROUND(CY9*I8*100/2/DK9,2))</f>
        <v/>
      </c>
      <c r="EK9" s="63"/>
      <c r="EL9" s="63" t="e">
        <f>IF(AB9=0.8,VLOOKUP(ER9,$CR$395:$CS$439,2),IF(AB9=0.9,VLOOKUP(ER9,$CR$348:$CS$394,2),VLOOKUP(ER9,$CR$301:$CS$344,2)))</f>
        <v>#VALUE!</v>
      </c>
      <c r="EM9" s="63" t="e">
        <f>IF(AB9=0.8,VLOOKUP(ES9,$CT$395:$CU$439,2),IF(AB9=0.9,VLOOKUP(ES9,$CT$348:$CU$394,2),VLOOKUP(ES9,$CT$301:$CU$344,2)))</f>
        <v>#VALUE!</v>
      </c>
      <c r="EO9" s="63" t="e">
        <f>IF(AB9=0.8,VLOOKUP(EU9,$CR$395:$CS$439,2),IF(AB9=0.9,VLOOKUP(EU9,$CR$348:$CS$394,2),VLOOKUP(EU9,$CR$301:$CS$344,2)))</f>
        <v>#VALUE!</v>
      </c>
      <c r="EP9" s="63" t="e">
        <f>IF(AB9=0.8,VLOOKUP(EV9,$CT$395:$CU$439,2),IF(AB9=0.9,VLOOKUP(EV9,$CT$348:$CU$394,2),VLOOKUP(EV9,$CT$301:$CU$344,2)))</f>
        <v>#VALUE!</v>
      </c>
      <c r="EQ9" s="155" t="e">
        <f t="shared" si="11"/>
        <v>#VALUE!</v>
      </c>
      <c r="ER9" s="63" t="e">
        <f>ROUNDUP($CX9*POWER($I8*100,2)/8/DH9,1)</f>
        <v>#VALUE!</v>
      </c>
      <c r="ES9" s="63" t="e">
        <f>ROUNDUP(5*$CX9*POWER($I8*100,4)/(384*VLOOKUP(VALUE(RIGHT($J8,4)),許容応力!$B$6:$K$22,10)*100*$DO9),2)</f>
        <v>#VALUE!</v>
      </c>
      <c r="EU9" s="63" t="e">
        <f>ROUNDUP($CY9*POWER($I8*100,2)/8/$DI9,1)</f>
        <v>#VALUE!</v>
      </c>
      <c r="EV9" s="63" t="e">
        <f>ROUNDUP(5*$CY9*POWER($I8*100,4)/(384*VLOOKUP(VALUE(RIGHT($J8,4)),許容応力!$B$6:$K$22,10)*100*$DU9),2)</f>
        <v>#VALUE!</v>
      </c>
      <c r="EX9" s="63"/>
      <c r="EY9" s="63"/>
      <c r="EZ9" s="63"/>
      <c r="FA9" s="63"/>
      <c r="FB9" s="63"/>
      <c r="FC9" s="57"/>
      <c r="FD9" s="57"/>
      <c r="FE9" s="57"/>
      <c r="FF9" s="57"/>
      <c r="FG9" s="57"/>
      <c r="FH9" s="57"/>
      <c r="FI9" s="57"/>
    </row>
    <row r="10" spans="2:165" ht="15.95" customHeight="1" thickBot="1" x14ac:dyDescent="0.2">
      <c r="B10" s="1161"/>
      <c r="C10" s="1163" t="s">
        <v>811</v>
      </c>
      <c r="D10" s="331"/>
      <c r="E10" s="1357"/>
      <c r="F10" s="1165" t="str">
        <f>IF(E10=0,"",ROUND(SQRT(COS(DR10*1.5*PI()/180)),3))</f>
        <v/>
      </c>
      <c r="G10" s="1516"/>
      <c r="H10" s="1516"/>
      <c r="I10" s="1516"/>
      <c r="J10" s="1521"/>
      <c r="K10" s="1116"/>
      <c r="L10" s="196">
        <f>+IF(K10=0,0,"×")</f>
        <v>0</v>
      </c>
      <c r="M10" s="241">
        <f>IF(K10=0,0,+EQ10)</f>
        <v>0</v>
      </c>
      <c r="N10" s="242" t="str">
        <f t="shared" si="0"/>
        <v/>
      </c>
      <c r="O10" s="1520">
        <f t="shared" ref="O10" si="12">IF(Z10=0,0,IF(AND(U10=0,X10=0),0,IF(IF(AE10&gt;=AH10,AE10,AH10)&lt;=1,"OK!","NO!")))</f>
        <v>0</v>
      </c>
      <c r="P10" s="1478"/>
      <c r="Q10" s="1572"/>
      <c r="R10" s="1572"/>
      <c r="S10" s="1616">
        <f t="shared" ref="S10" si="13">+IF(R10=0,0,6)</f>
        <v>0</v>
      </c>
      <c r="T10" s="1572"/>
      <c r="U10" s="1572"/>
      <c r="V10" s="196" t="str">
        <f>+J$185</f>
        <v/>
      </c>
      <c r="W10" s="1321">
        <f>IF(U10=0,0,+VLOOKUP(V10,$I$204:$J$209,2))</f>
        <v>0</v>
      </c>
      <c r="X10" s="1496"/>
      <c r="Y10" s="1311">
        <f>IF(X10=0,0,+CS10)</f>
        <v>0</v>
      </c>
      <c r="Z10" s="1313">
        <f>IF(AND(R10=0,X10=0),0,+IF(AND(VALUE(RIGHT(P10,4))=2,R10&gt;0),0,IF(AND(VALUE(RIGHT(P10,4))=1,X10&gt;0),0,CM10)))</f>
        <v>0</v>
      </c>
      <c r="AA10" s="1314">
        <f>IF(X10=0,0,IF(EI10&gt;=EJ10,EI10,EJ10))</f>
        <v>0</v>
      </c>
      <c r="AB10" s="1121"/>
      <c r="AC10" s="201" t="str">
        <f t="shared" si="1"/>
        <v/>
      </c>
      <c r="AD10" s="201" t="str">
        <f t="shared" si="2"/>
        <v/>
      </c>
      <c r="AE10" s="1314">
        <f>IF(F10=+"",0,IF(AND(U10=0,X10=0),0,IF(X10=0,ROUND(DB10/(DJ10*$CP$4*W10),2),ROUND(DB10/DJ10,2))))</f>
        <v>0</v>
      </c>
      <c r="AF10" s="201" t="str">
        <f t="shared" si="3"/>
        <v/>
      </c>
      <c r="AG10" s="201" t="str">
        <f t="shared" si="4"/>
        <v/>
      </c>
      <c r="AH10" s="1314">
        <f>IF(F10=+"",0,IF(AND(U10=0,X10=0),0,IF(X10=0,ROUND(DE10/(DK10*$CP$4*W10),2),ROUND(DE10/DK10,2))))</f>
        <v>0</v>
      </c>
      <c r="AI10" s="818"/>
      <c r="AJ10" s="811"/>
      <c r="AK10" s="823"/>
      <c r="AL10" s="812"/>
      <c r="AM10" s="1300">
        <f>IF(AI10=0,0,ROUND(AI10*AJ10+AK10*AL10+AI11*AJ11+AK11*AL11,2))</f>
        <v>0</v>
      </c>
      <c r="AN10" s="1300">
        <f t="shared" ref="AN10" si="14">IF(AJ10=0,0,IF(CO10=1,CN10/($CP$4*W10),CN10))</f>
        <v>0</v>
      </c>
      <c r="AO10" s="1302" t="str">
        <f t="shared" ref="AO10" si="15">IF(AN10=0,"",IF(AN10&lt;=1,"OK!","NO!"))</f>
        <v/>
      </c>
      <c r="AP10" s="182">
        <f>+IF(I10=0,0,"1/")</f>
        <v>0</v>
      </c>
      <c r="AQ10" s="183">
        <f>IF(I10=0,0,+DN10)</f>
        <v>0</v>
      </c>
      <c r="AR10" s="23"/>
      <c r="AS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1313">
        <f>IF(AND(U10=0,X10=0),0,IF(U10&gt;0,J$196/100*$CP$4*W10,ROUND(POWER(X10*Y10,2)/(K10/10*M10/10),2)))</f>
        <v>0</v>
      </c>
      <c r="CN10" s="1304" t="str">
        <f>IF($AJ10=0,"",IF($EC10&gt;=$EE10,$EC10,$EE10))</f>
        <v/>
      </c>
      <c r="CO10" s="552">
        <f>IF(P10=0,0,+VALUE(RIGHT(P10,4)))</f>
        <v>0</v>
      </c>
      <c r="CP10" s="9" t="e">
        <f>ROUNDUP(CX10*I10*100/2/DL10,2)</f>
        <v>#VALUE!</v>
      </c>
      <c r="CQ10" s="9" t="e">
        <f>ROUNDUP(CY10*I10*100/2/DM10,2)</f>
        <v>#VALUE!</v>
      </c>
      <c r="CR10" s="23" t="e">
        <f t="shared" si="5"/>
        <v>#VALUE!</v>
      </c>
      <c r="CS10" s="9">
        <f>IF(M10=0,0,ROUNDUP(SQRT((AA10*K10/10*M10/10)/(X10*X10)),2))</f>
        <v>0</v>
      </c>
      <c r="CT10" s="75"/>
      <c r="CU10" s="63">
        <f t="shared" si="6"/>
        <v>0</v>
      </c>
      <c r="CV10" s="63" t="e">
        <f>ROUNDUP(IF(VALUE(RIGHT($G$3,4))=1,$I$3*30*F10*100,$I$3*20*F10*100),0)</f>
        <v>#VALUE!</v>
      </c>
      <c r="CW10" s="63"/>
      <c r="CX10" s="63">
        <f>ROUNDUP((準備!$G$57/100/DS10+IF(AND(VALUE(RIGHT($G$3,4))=1,$T$3=2),CU10/100*1.2,CU10/100))*(G10+H10)/2,2)</f>
        <v>0</v>
      </c>
      <c r="CY10" s="63" t="e">
        <f>ROUNDUP((準備!$G$57/100/DS10+IF(AND(VALUE(RIGHT($G$3,4))=1,$T$3=2),CV10/100*1.2,CV10/100))*(G10+H10)/2,2)</f>
        <v>#VALUE!</v>
      </c>
      <c r="CZ10" s="63" t="e">
        <f>ROUNDUP(CX10*POWER(I10*100,2)/8/DF10,1)</f>
        <v>#DIV/0!</v>
      </c>
      <c r="DA10" s="63" t="e">
        <f>ROUNDUP(5*$CX10*POWER($I10*100,4)/(384*VLOOKUP(VALUE(RIGHT($J10,4)),許容応力!$B$6:$K$22,10)*100*$DG10),2)</f>
        <v>#VALUE!</v>
      </c>
      <c r="DB10" s="63" t="e">
        <f>ROUND(CX10*I10*100/2/Z10,1)</f>
        <v>#DIV/0!</v>
      </c>
      <c r="DC10" s="63" t="e">
        <f>ROUNDUP(CY10*POWER(I10*100,2)/8/DF10,1)</f>
        <v>#VALUE!</v>
      </c>
      <c r="DD10" s="63" t="e">
        <f>ROUNDUP(5*$CY10*POWER($I10*100,4)/(384*VLOOKUP(VALUE(RIGHT($J10,4)),許容応力!$B$6:$K$22,10)*100*$DG10),2)</f>
        <v>#VALUE!</v>
      </c>
      <c r="DE10" s="63" t="e">
        <f>ROUND(CY10*I10*100/2/Z10,1)</f>
        <v>#VALUE!</v>
      </c>
      <c r="DF10" s="63">
        <f>ROUNDDOWN(K10/10*POWER(M10/10,2)/6*IF(OR(AB10=0,AB10=1),1,AB10),0)</f>
        <v>0</v>
      </c>
      <c r="DG10" s="63">
        <f>ROUNDDOWN(K10/10*POWER(M10/10,3)/12*IF(OR(AB10=0,AB10=1),1,AB10),0)</f>
        <v>0</v>
      </c>
      <c r="DH10" s="10" t="e">
        <f>IF($DN$6=2,ROUND(VLOOKUP(DQ10,許容応力!$B$6:$K$22,7)*1.1/3*100,0),ROUND(VLOOKUP(DQ10,許容応力!$B$6:$K$22,7)*1.1/3*1.3*100,0))</f>
        <v>#VALUE!</v>
      </c>
      <c r="DI10" s="63" t="e">
        <f>ROUND(VLOOKUP(DQ10,許容応力!$B$6:$K$22,7)*100*2/3*0.8,0)</f>
        <v>#VALUE!</v>
      </c>
      <c r="DJ10" s="10" t="e">
        <f>IF($DN$6=2,ROUND(VLOOKUP(DQ10,許容応力!$B$6:$K$22,8)*1.1/3*100,0),ROUND(VLOOKUP(DQ10,許容応力!$B$6:$K$22,8)*1.1/3*1.3*100,0))</f>
        <v>#VALUE!</v>
      </c>
      <c r="DK10" s="63" t="e">
        <f>ROUND(VLOOKUP(DQ10,許容応力!$B$6:$K$22,8)*100*2/3*0.8,0)</f>
        <v>#VALUE!</v>
      </c>
      <c r="DL10" s="10" t="e">
        <f>IF($DN$6=2,ROUND(VLOOKUP(DQ10,許容応力!$B$6:$K$22,9)*1.1/3*100,0),ROUND(VLOOKUP(DQ10,許容応力!$B$6:$K$22,9)*1.1/3*1.3*100,0))</f>
        <v>#VALUE!</v>
      </c>
      <c r="DM10" s="63" t="e">
        <f>ROUND(VLOOKUP(DQ10,許容応力!$B$6:$K$22,9)*100*2/3*0.8,0)</f>
        <v>#VALUE!</v>
      </c>
      <c r="DN10" s="63">
        <f t="shared" si="7"/>
        <v>200</v>
      </c>
      <c r="DO10" s="63">
        <f>ROUND(I10*100/DN10,2)</f>
        <v>0</v>
      </c>
      <c r="DP10" s="63"/>
      <c r="DQ10" s="63" t="e">
        <f>+VALUE(RIGHT(J10,3))</f>
        <v>#VALUE!</v>
      </c>
      <c r="DR10" s="69">
        <f>ROUND(ATAN(E10/10)*180/PI(),4)</f>
        <v>0</v>
      </c>
      <c r="DS10" s="70">
        <f t="shared" si="8"/>
        <v>1</v>
      </c>
      <c r="DT10" s="63">
        <f>VLOOKUP(VALUE(RIGHT(C10,4)),$C$632:$F$641,4)</f>
        <v>200</v>
      </c>
      <c r="DU10" s="63">
        <f>ROUND(I10*100/DT10,2)</f>
        <v>0</v>
      </c>
      <c r="DV10" s="63"/>
      <c r="DW10" s="87"/>
      <c r="DX10" s="87" t="e">
        <f>ROUNDUP((準備!$F$60/100+準備!$E$48/100)*($G10+$H10)/2,2)</f>
        <v>#N/A</v>
      </c>
      <c r="DY10" s="63"/>
      <c r="DZ10" s="63"/>
      <c r="EA10" s="63"/>
      <c r="EB10" s="63" t="e">
        <f>ROUND(CX10*I10*100/2/AM10,1)</f>
        <v>#DIV/0!</v>
      </c>
      <c r="EC10" s="63" t="e">
        <f t="shared" si="9"/>
        <v>#DIV/0!</v>
      </c>
      <c r="ED10" s="63" t="e">
        <f>ROUND(CY10*I10*100/2/AM10,1)</f>
        <v>#VALUE!</v>
      </c>
      <c r="EE10" s="63" t="e">
        <f t="shared" si="10"/>
        <v>#VALUE!</v>
      </c>
      <c r="EF10" s="588"/>
      <c r="EG10" s="588"/>
      <c r="EH10" s="588"/>
      <c r="EI10" s="63" t="str">
        <f>IF(M10=0,"",ROUND(CX10*I10*100/2/DJ10,2))</f>
        <v/>
      </c>
      <c r="EJ10" s="63" t="str">
        <f>IF(M10=0,"",ROUND(CY10*I10*100/2/DK10,2))</f>
        <v/>
      </c>
      <c r="EK10" s="63"/>
      <c r="EL10" s="63" t="e">
        <f>ROUNDUP(ER10/3,-1)*3</f>
        <v>#VALUE!</v>
      </c>
      <c r="EM10" s="63" t="e">
        <f>ROUNDUP(ES10/3,-1)*3</f>
        <v>#VALUE!</v>
      </c>
      <c r="EO10" s="63" t="e">
        <f>ROUNDUP(EU10/3,-1)*3</f>
        <v>#VALUE!</v>
      </c>
      <c r="EP10" s="63" t="e">
        <f>ROUNDUP(EV10/3,-1)*3</f>
        <v>#VALUE!</v>
      </c>
      <c r="EQ10" s="155" t="e">
        <f t="shared" si="11"/>
        <v>#VALUE!</v>
      </c>
      <c r="ER10" s="63" t="e">
        <f>ROUND(SQRT(ROUND(EW10/DH10*6/(K10/10)/IF(AB10=0,1,AB10),1))*10,0)</f>
        <v>#VALUE!</v>
      </c>
      <c r="ES10" s="3" t="e">
        <f>POWER(ROUND(EX10/(K10/10)*12,0)/IF(AB10=0,1,AB10)/DO10,1/3)*10</f>
        <v>#VALUE!</v>
      </c>
      <c r="ET10" s="63"/>
      <c r="EU10" s="63" t="e">
        <f>ROUND(SQRT(ROUND(EZ10/DI10*6/(K10/10)/IF(AB10=0,1,AB10),1))*10,2)</f>
        <v>#VALUE!</v>
      </c>
      <c r="EV10" s="3" t="e">
        <f>POWER(ROUND(FA10/(K10/10)*12,0)/IF(AB10=0,1,AB10)/DU10,1/3)*10</f>
        <v>#VALUE!</v>
      </c>
      <c r="EW10" s="63">
        <f>ROUNDUP(CX10*POWER(I10*100,2)/8,1)</f>
        <v>0</v>
      </c>
      <c r="EX10" s="63" t="e">
        <f>ROUNDUP(5*$CX10*POWER($I10*100,4)/(384*VLOOKUP(VALUE(RIGHT($J10,4)),許容応力!$B$6:$K$22,10)*100),2)</f>
        <v>#VALUE!</v>
      </c>
      <c r="EY10" s="63"/>
      <c r="EZ10" s="63" t="e">
        <f>ROUNDUP(CY10*POWER(I10*100,2)/8,1)</f>
        <v>#VALUE!</v>
      </c>
      <c r="FA10" s="63" t="e">
        <f>ROUNDUP(5*$CY10*POWER($I10*100,4)/(384*VLOOKUP(VALUE(RIGHT($J10,4)),許容応力!$B$6:$K$22,10)*100),2)</f>
        <v>#VALUE!</v>
      </c>
      <c r="FB10" s="63"/>
      <c r="FC10" s="57"/>
      <c r="FD10" s="57"/>
      <c r="FE10" s="57"/>
      <c r="FF10" s="57"/>
      <c r="FG10" s="57"/>
      <c r="FH10" s="57"/>
      <c r="FI10" s="57"/>
    </row>
    <row r="11" spans="2:165" ht="15.95" customHeight="1" thickBot="1" x14ac:dyDescent="0.2">
      <c r="B11" s="1161"/>
      <c r="C11" s="1163"/>
      <c r="D11" s="330"/>
      <c r="E11" s="1357"/>
      <c r="F11" s="1166"/>
      <c r="G11" s="1359"/>
      <c r="H11" s="1359"/>
      <c r="I11" s="1359"/>
      <c r="J11" s="1521"/>
      <c r="K11" s="1193">
        <f>+IF(J10=0,0,"丸太末口 φ")</f>
        <v>0</v>
      </c>
      <c r="L11" s="1194"/>
      <c r="M11" s="239">
        <f>IF(J10=0,0,+EQ11)</f>
        <v>0</v>
      </c>
      <c r="N11" s="240" t="str">
        <f t="shared" si="0"/>
        <v/>
      </c>
      <c r="O11" s="1519"/>
      <c r="P11" s="1478"/>
      <c r="Q11" s="1572"/>
      <c r="R11" s="1572"/>
      <c r="S11" s="1617"/>
      <c r="T11" s="1572"/>
      <c r="U11" s="1572"/>
      <c r="V11" s="1020" t="str">
        <f>+J$184</f>
        <v/>
      </c>
      <c r="W11" s="1321"/>
      <c r="X11" s="1497"/>
      <c r="Y11" s="1312"/>
      <c r="Z11" s="1312"/>
      <c r="AA11" s="1254"/>
      <c r="AB11" s="1120"/>
      <c r="AC11" s="206" t="str">
        <f t="shared" si="1"/>
        <v/>
      </c>
      <c r="AD11" s="206" t="str">
        <f t="shared" si="2"/>
        <v/>
      </c>
      <c r="AE11" s="1254"/>
      <c r="AF11" s="206" t="str">
        <f t="shared" si="3"/>
        <v/>
      </c>
      <c r="AG11" s="206" t="str">
        <f t="shared" si="4"/>
        <v/>
      </c>
      <c r="AH11" s="1470"/>
      <c r="AI11" s="817"/>
      <c r="AJ11" s="809"/>
      <c r="AK11" s="822"/>
      <c r="AL11" s="810"/>
      <c r="AM11" s="1301"/>
      <c r="AN11" s="1301"/>
      <c r="AO11" s="1303"/>
      <c r="AP11" s="184">
        <f>+IF(I10=0,0,"1/")</f>
        <v>0</v>
      </c>
      <c r="AQ11" s="185">
        <f>IF(I10=0,0,+DN11)</f>
        <v>0</v>
      </c>
      <c r="AR11" s="23"/>
      <c r="AS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1312"/>
      <c r="CN11" s="1301"/>
      <c r="CO11" s="548"/>
      <c r="CP11" s="9" t="e">
        <f>ROUNDUP(CX11*I10*100/2/DL11,2)</f>
        <v>#VALUE!</v>
      </c>
      <c r="CQ11" s="9" t="e">
        <f>ROUNDUP(CY11*I10*100/2/DM11,2)</f>
        <v>#VALUE!</v>
      </c>
      <c r="CR11" s="23" t="e">
        <f t="shared" si="5"/>
        <v>#VALUE!</v>
      </c>
      <c r="CS11" s="9">
        <f>IF(M11=0,0,ROUNDUP(SQRT(AA11*(M11/10-6)*(M11/10-3))/(X11*X11),2))</f>
        <v>0</v>
      </c>
      <c r="CT11" s="63"/>
      <c r="CU11" s="63">
        <f t="shared" si="6"/>
        <v>0</v>
      </c>
      <c r="CV11" s="63" t="e">
        <f>ROUNDUP(IF(VALUE(RIGHT($G$3,4))=1,$I$3*30*F10*100,$I$3*20*F10*100),0)</f>
        <v>#VALUE!</v>
      </c>
      <c r="CW11" s="63"/>
      <c r="CX11" s="63">
        <f>ROUNDUP((準備!$G$57/100/DS11+IF(AND(VALUE(RIGHT($G$3,4))=1,$T$3=2),CU11/100*1.2,CU11/100))*(G10+H10)/2,2)</f>
        <v>0</v>
      </c>
      <c r="CY11" s="63" t="e">
        <f>ROUNDUP((準備!$G$57/100/DS11+IF(AND(VALUE(RIGHT($G$3,4))=1,$T$3=2),CV11/100*1.2,CV11/100))*(G10+H10)/2,2)</f>
        <v>#VALUE!</v>
      </c>
      <c r="CZ11" s="63">
        <f>IF($K11=0,0,ROUNDUP($CX11*POWER($I10*100,2)/8/$DF11,1))</f>
        <v>0</v>
      </c>
      <c r="DA11" s="63">
        <f>IF($K11=0,0,ROUNDUP(5*$CX11*POWER($I10*100,4)/(384*VLOOKUP(VALUE(RIGHT($J10,4)),許容応力!$L$6:$U$22,10)*100*$DG11),2))</f>
        <v>0</v>
      </c>
      <c r="DB11" s="63" t="e">
        <f>ROUND((CX11*I10*100/2+EA11)/Z11,1)</f>
        <v>#DIV/0!</v>
      </c>
      <c r="DC11" s="63" t="e">
        <f>ROUNDUP($CY11*POWER($I10*100,2)/8/$DF11,1)</f>
        <v>#VALUE!</v>
      </c>
      <c r="DD11" s="63" t="e">
        <f>ROUNDUP(5*$CY11*POWER($I10*100,4)/(384*VLOOKUP(VALUE(RIGHT($J10,4)),許容応力!$L$6:$U$22,10)*100*$DG11),2)</f>
        <v>#VALUE!</v>
      </c>
      <c r="DE11" s="63" t="e">
        <f>ROUND((CY11*I10*100/2+EA11)/Z11,1)</f>
        <v>#VALUE!</v>
      </c>
      <c r="DF11" s="63">
        <f>IF(M11&lt;180,ROUND((M11/10-3)*POWER(M11/10-3,2)/6*IF(AB11=0,1,AB11),0),ROUND((M11/10-5)*POWER(M11/10-3,2)/6*IF($AB11=0,1,$AB11),0))</f>
        <v>-5</v>
      </c>
      <c r="DG11" s="63">
        <f>ROUND(IF(M11&lt;180,(M11/10-3)*POWER((M11/10-3),3)/12*IF(AB11=0,1,AB11),(M11/10-5))*POWER((M11/10-3),3)/12*IF(AB11=0,1,AB11),0)</f>
        <v>-15</v>
      </c>
      <c r="DH11" s="10" t="e">
        <f>IF($DN$6=2,ROUND(VLOOKUP(DQ11,許容応力!$L$6:$U$22,7)*1.1/3*100,0),ROUND(VLOOKUP(DQ11,許容応力!$L$6:$U$22,7)*1.1/3*1.3*100,0))</f>
        <v>#VALUE!</v>
      </c>
      <c r="DI11" s="63" t="e">
        <f>ROUND(VLOOKUP(DQ11,許容応力!$L$6:$U$22,7)*100*2/3*0.8,0)</f>
        <v>#VALUE!</v>
      </c>
      <c r="DJ11" s="10" t="e">
        <f>IF($DN$6=2,ROUND(VLOOKUP(DQ11,許容応力!$L$6:$U$22,8)*1.1/3*100,0),ROUND(VLOOKUP(DQ11,許容応力!$L$6:$U$22,8)*1.1/3*1.3*100,0))</f>
        <v>#VALUE!</v>
      </c>
      <c r="DK11" s="63" t="e">
        <f>ROUND(VLOOKUP(DQ11,許容応力!$L$6:$U$22,8)*100*2/3*0.8,0)</f>
        <v>#VALUE!</v>
      </c>
      <c r="DL11" s="10" t="e">
        <f>IF($DN$6=2,ROUND(VLOOKUP(DQ11,許容応力!$L$6:$U$22,9)*1.1/3*100,0),ROUND(VLOOKUP(DQ11,許容応力!$L$6:$U$22,9)*1.1/3*1.3*100,0))</f>
        <v>#VALUE!</v>
      </c>
      <c r="DM11" s="63" t="e">
        <f>ROUND(VLOOKUP(DQ11,許容応力!$L$6:$U$22,9)*100*2/3*0.8,0)</f>
        <v>#VALUE!</v>
      </c>
      <c r="DN11" s="63">
        <f t="shared" si="7"/>
        <v>200</v>
      </c>
      <c r="DO11" s="63">
        <f>ROUND(I10*100/DN11,2)</f>
        <v>0</v>
      </c>
      <c r="DP11" s="63"/>
      <c r="DQ11" s="63" t="e">
        <f>+VALUE(RIGHT(J10,3))</f>
        <v>#VALUE!</v>
      </c>
      <c r="DR11" s="69">
        <f>ROUND(ATAN(E10/10)*180/PI(),4)</f>
        <v>0</v>
      </c>
      <c r="DS11" s="70">
        <f t="shared" si="8"/>
        <v>1</v>
      </c>
      <c r="DT11" s="63">
        <f>VLOOKUP(VALUE(RIGHT(C10,4)),$C$632:$F$641,4)</f>
        <v>200</v>
      </c>
      <c r="DU11" s="63">
        <f>ROUND(I10*100/DT11,2)</f>
        <v>0</v>
      </c>
      <c r="DV11" s="63"/>
      <c r="DW11" s="78"/>
      <c r="DX11" s="78" t="e">
        <f>ROUNDUP((準備!$F$60/100+準備!$E$48/100)*($G10+$H10)/2,2)</f>
        <v>#N/A</v>
      </c>
      <c r="DY11" s="71">
        <f>IF(I10&lt;6,POWER(M11/10,2)*I10/10000,POWER((M11/10+(ROUNDDOWN(I10,0)-4)/2),2)*I10/10000)</f>
        <v>0</v>
      </c>
      <c r="DZ11" s="63">
        <v>200</v>
      </c>
      <c r="EA11" s="84">
        <f>ROUND(DY11*DZ11/100,0)</f>
        <v>0</v>
      </c>
      <c r="EB11" s="63" t="e">
        <f>ROUND((CX11*I10*100/2+EA11)/AM11,1)</f>
        <v>#DIV/0!</v>
      </c>
      <c r="EC11" s="63" t="e">
        <f t="shared" si="9"/>
        <v>#DIV/0!</v>
      </c>
      <c r="ED11" s="63" t="e">
        <f>ROUND((CY11*I10*100/2+EA11)/AM11,1)</f>
        <v>#VALUE!</v>
      </c>
      <c r="EE11" s="63" t="e">
        <f t="shared" si="10"/>
        <v>#VALUE!</v>
      </c>
      <c r="EF11" s="63"/>
      <c r="EG11" s="63"/>
      <c r="EH11" s="63"/>
      <c r="EI11" s="63" t="str">
        <f>IF(M11=0,"",ROUND(CX11*I10*100/2/DJ11,2))</f>
        <v/>
      </c>
      <c r="EJ11" s="63" t="str">
        <f>IF(M11=0,"",ROUND(CY11*I10*100/2/DK11,2))</f>
        <v/>
      </c>
      <c r="EK11" s="63"/>
      <c r="EL11" s="63" t="e">
        <f>IF(AB11=0.8,VLOOKUP(ER11,$CR$395:$CS$439,2),IF(AB11=0.9,VLOOKUP(ER11,$CR$348:$CS$394,2),VLOOKUP(ER11,$CR$301:$CS$344,2)))</f>
        <v>#VALUE!</v>
      </c>
      <c r="EM11" s="63" t="e">
        <f>IF(AB11=0.8,VLOOKUP(ES11,$CT$395:$CU$439,2),IF(AB11=0.9,VLOOKUP(ES11,$CT$348:$CU$394,2),VLOOKUP(ES11,$CT$301:$CU$344,2)))</f>
        <v>#VALUE!</v>
      </c>
      <c r="EO11" s="63" t="e">
        <f>IF(AB11=0.8,VLOOKUP(EU11,$CR$395:$CS$439,2),IF(AB11=0.9,VLOOKUP(EU11,$CR$348:$CS$394,2),VLOOKUP(EU11,$CR$301:$CS$344,2)))</f>
        <v>#VALUE!</v>
      </c>
      <c r="EP11" s="63" t="e">
        <f>IF(AB11=0.8,VLOOKUP(EV11,$CT$395:$CU$439,2),IF(AB11=0.9,VLOOKUP(EV11,$CT$348:$CU$394,2),VLOOKUP(EV11,$CT$301:$CU$344,2)))</f>
        <v>#VALUE!</v>
      </c>
      <c r="EQ11" s="155" t="e">
        <f t="shared" si="11"/>
        <v>#VALUE!</v>
      </c>
      <c r="ER11" s="63" t="e">
        <f>ROUNDUP($CX11*POWER($I10*100,2)/8/DH11,1)</f>
        <v>#VALUE!</v>
      </c>
      <c r="ES11" s="63" t="e">
        <f>ROUNDUP(5*$CX11*POWER($I10*100,4)/(384*VLOOKUP(VALUE(RIGHT($J10,4)),許容応力!$B$6:$K$22,10)*100*$DO11),2)</f>
        <v>#VALUE!</v>
      </c>
      <c r="EU11" s="63" t="e">
        <f>ROUNDUP($CY11*POWER($I10*100,2)/8/$DI11,1)</f>
        <v>#VALUE!</v>
      </c>
      <c r="EV11" s="63" t="e">
        <f>ROUNDUP(5*$CY11*POWER($I10*100,4)/(384*VLOOKUP(VALUE(RIGHT($J10,4)),許容応力!$B$6:$K$22,10)*100*$DU11),2)</f>
        <v>#VALUE!</v>
      </c>
      <c r="EX11" s="63"/>
      <c r="EY11" s="63"/>
      <c r="EZ11" s="63"/>
      <c r="FA11" s="63"/>
      <c r="FB11" s="63"/>
      <c r="FC11" s="57"/>
      <c r="FD11" s="57"/>
      <c r="FE11" s="57"/>
      <c r="FF11" s="57"/>
      <c r="FG11" s="57"/>
      <c r="FH11" s="57"/>
      <c r="FI11" s="57"/>
    </row>
    <row r="12" spans="2:165" ht="15.95" customHeight="1" thickBot="1" x14ac:dyDescent="0.2">
      <c r="B12" s="1161"/>
      <c r="C12" s="1163" t="s">
        <v>812</v>
      </c>
      <c r="D12" s="331"/>
      <c r="E12" s="1357"/>
      <c r="F12" s="1165" t="str">
        <f>IF(E12=0,"",ROUND(SQRT(COS(DR12*1.5*PI()/180)),3))</f>
        <v/>
      </c>
      <c r="G12" s="1516"/>
      <c r="H12" s="1516"/>
      <c r="I12" s="1516"/>
      <c r="J12" s="1521"/>
      <c r="K12" s="1116"/>
      <c r="L12" s="196">
        <f>+IF(K12=0,0,"×")</f>
        <v>0</v>
      </c>
      <c r="M12" s="241">
        <f>IF(K12=0,0,+EQ12)</f>
        <v>0</v>
      </c>
      <c r="N12" s="242" t="str">
        <f t="shared" si="0"/>
        <v/>
      </c>
      <c r="O12" s="1520">
        <f t="shared" ref="O12" si="16">IF(Z12=0,0,IF(AND(U12=0,X12=0),0,IF(IF(AE12&gt;=AH12,AE12,AH12)&lt;=1,"OK!","NO!")))</f>
        <v>0</v>
      </c>
      <c r="P12" s="1478"/>
      <c r="Q12" s="1572"/>
      <c r="R12" s="1572"/>
      <c r="S12" s="1616">
        <f t="shared" ref="S12" si="17">+IF(R12=0,0,6)</f>
        <v>0</v>
      </c>
      <c r="T12" s="1572"/>
      <c r="U12" s="1572"/>
      <c r="V12" s="196" t="str">
        <f>+K$185</f>
        <v/>
      </c>
      <c r="W12" s="1321">
        <f>IF(U12=0,0,+VLOOKUP(V12,$I$204:$J$209,2))</f>
        <v>0</v>
      </c>
      <c r="X12" s="1496"/>
      <c r="Y12" s="1311">
        <f>IF(X12=0,0,+CS12)</f>
        <v>0</v>
      </c>
      <c r="Z12" s="1313">
        <f>IF(AND(R12=0,X12=0),0,+IF(AND(VALUE(RIGHT(P12,4))=2,R12&gt;0),0,IF(AND(VALUE(RIGHT(P12,4))=1,X12&gt;0),0,CM12)))</f>
        <v>0</v>
      </c>
      <c r="AA12" s="1314">
        <f>IF(X12=0,0,IF(EI12&gt;=EJ12,EI12,EJ12))</f>
        <v>0</v>
      </c>
      <c r="AB12" s="1121"/>
      <c r="AC12" s="201" t="str">
        <f t="shared" si="1"/>
        <v/>
      </c>
      <c r="AD12" s="201" t="str">
        <f t="shared" si="2"/>
        <v/>
      </c>
      <c r="AE12" s="1314">
        <f>IF(F12=+"",0,IF(AND(U12=0,X12=0),0,IF(X12=0,ROUND(DB12/(DJ12*$CP$4*W12),2),ROUND(DB12/DJ12,2))))</f>
        <v>0</v>
      </c>
      <c r="AF12" s="201" t="str">
        <f t="shared" si="3"/>
        <v/>
      </c>
      <c r="AG12" s="201" t="str">
        <f t="shared" si="4"/>
        <v/>
      </c>
      <c r="AH12" s="1314">
        <f>IF(F12=+"",0,IF(AND(U12=0,X12=0),0,IF(X12=0,ROUND(DE12/(DK12*$CP$4*W12),2),ROUND(DE12/DK12,2))))</f>
        <v>0</v>
      </c>
      <c r="AI12" s="818"/>
      <c r="AJ12" s="811"/>
      <c r="AK12" s="823"/>
      <c r="AL12" s="812"/>
      <c r="AM12" s="1300">
        <f>IF(AI12=0,0,ROUND(AI12*AJ12+AK12*AL12+AI13*AJ13+AK13*AL13,2))</f>
        <v>0</v>
      </c>
      <c r="AN12" s="1300">
        <f t="shared" ref="AN12" si="18">IF(AJ12=0,0,IF(CO12=1,CN12/($CP$4*W12),CN12))</f>
        <v>0</v>
      </c>
      <c r="AO12" s="1302" t="str">
        <f t="shared" ref="AO12" si="19">IF(AN12=0,"",IF(AN12&lt;=1,"OK!","NO!"))</f>
        <v/>
      </c>
      <c r="AP12" s="182">
        <f>+IF(I12=0,0,"1/")</f>
        <v>0</v>
      </c>
      <c r="AQ12" s="183">
        <f>IF(I12=0,0,+DN12)</f>
        <v>0</v>
      </c>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1313">
        <f>IF(AND(U12=0,X12=0),0,IF(U12&gt;0,K$196/100*$CP$4*W12,ROUND(POWER(X12*Y12,2)/(K12/10*M12/10),2)))</f>
        <v>0</v>
      </c>
      <c r="CN12" s="1304" t="str">
        <f>IF($AJ12=0,"",IF($EC12&gt;=$EE12,$EC12,$EE12))</f>
        <v/>
      </c>
      <c r="CO12" s="552">
        <f>IF(P12=0,0,+VALUE(RIGHT(P12,4)))</f>
        <v>0</v>
      </c>
      <c r="CP12" s="9" t="e">
        <f>ROUNDUP(CX12*I12*100/2/DL12,2)</f>
        <v>#VALUE!</v>
      </c>
      <c r="CQ12" s="9" t="e">
        <f>ROUNDUP(CY12*I12*100/2/DM12,2)</f>
        <v>#VALUE!</v>
      </c>
      <c r="CR12" s="23" t="e">
        <f t="shared" si="5"/>
        <v>#VALUE!</v>
      </c>
      <c r="CS12" s="9">
        <f>IF(M12=0,0,ROUNDUP(SQRT((AA12*K12/10*M12/10)/(X12*X12)),2))</f>
        <v>0</v>
      </c>
      <c r="CT12" s="75"/>
      <c r="CU12" s="63">
        <f t="shared" si="6"/>
        <v>0</v>
      </c>
      <c r="CV12" s="63" t="e">
        <f>ROUNDUP(IF(VALUE(RIGHT($G$3,4))=1,$I$3*30*F12*100,$I$3*20*F12*100),0)</f>
        <v>#VALUE!</v>
      </c>
      <c r="CW12" s="63"/>
      <c r="CX12" s="63">
        <f>ROUNDUP((準備!$G$57/100/DS12+IF(AND(VALUE(RIGHT($G$3,4))=1,$T$3=2),CU12/100*1.2,CU12/100))*(G12+H12)/2,2)</f>
        <v>0</v>
      </c>
      <c r="CY12" s="63" t="e">
        <f>ROUNDUP((準備!$G$57/100/DS12+IF(AND(VALUE(RIGHT($G$3,4))=1,$T$3=2),CV12/100*1.2,CV12/100))*(G12+H12)/2,2)</f>
        <v>#VALUE!</v>
      </c>
      <c r="CZ12" s="63" t="e">
        <f>ROUNDUP(CX12*POWER(I12*100,2)/8/DF12,1)</f>
        <v>#DIV/0!</v>
      </c>
      <c r="DA12" s="63" t="e">
        <f>ROUNDUP(5*$CX12*POWER($I12*100,4)/(384*VLOOKUP(VALUE(RIGHT($J12,4)),許容応力!$B$6:$K$22,10)*100*$DG12),2)</f>
        <v>#VALUE!</v>
      </c>
      <c r="DB12" s="63" t="e">
        <f>ROUND(CX12*I12*100/2/Z12,1)</f>
        <v>#DIV/0!</v>
      </c>
      <c r="DC12" s="63" t="e">
        <f>ROUNDUP(CY12*POWER(I12*100,2)/8/DF12,1)</f>
        <v>#VALUE!</v>
      </c>
      <c r="DD12" s="63" t="e">
        <f>ROUNDUP(5*$CY12*POWER($I12*100,4)/(384*VLOOKUP(VALUE(RIGHT($J12,4)),許容応力!$B$6:$K$22,10)*100*$DG12),2)</f>
        <v>#VALUE!</v>
      </c>
      <c r="DE12" s="63" t="e">
        <f>ROUND(CY12*I12*100/2/Z12,1)</f>
        <v>#VALUE!</v>
      </c>
      <c r="DF12" s="63">
        <f>ROUNDDOWN(K12/10*POWER(M12/10,2)/6*IF(OR(AB12=0,AB12=1),1,AB12),0)</f>
        <v>0</v>
      </c>
      <c r="DG12" s="63">
        <f>ROUNDDOWN(K12/10*POWER(M12/10,3)/12*IF(OR(AB12=0,AB12=1),1,AB12),0)</f>
        <v>0</v>
      </c>
      <c r="DH12" s="10" t="e">
        <f>IF($DN$6=2,ROUND(VLOOKUP(DQ12,許容応力!$B$6:$K$22,7)*1.1/3*100,0),ROUND(VLOOKUP(DQ12,許容応力!$B$6:$K$22,7)*1.1/3*1.3*100,0))</f>
        <v>#VALUE!</v>
      </c>
      <c r="DI12" s="63" t="e">
        <f>ROUND(VLOOKUP(DQ12,許容応力!$B$6:$K$22,7)*100*2/3*0.8,0)</f>
        <v>#VALUE!</v>
      </c>
      <c r="DJ12" s="10" t="e">
        <f>IF($DN$6=2,ROUND(VLOOKUP(DQ12,許容応力!$B$6:$K$22,8)*1.1/3*100,0),ROUND(VLOOKUP(DQ12,許容応力!$B$6:$K$22,8)*1.1/3*1.3*100,0))</f>
        <v>#VALUE!</v>
      </c>
      <c r="DK12" s="63" t="e">
        <f>ROUND(VLOOKUP(DQ12,許容応力!$B$6:$K$22,8)*100*2/3*0.8,0)</f>
        <v>#VALUE!</v>
      </c>
      <c r="DL12" s="10" t="e">
        <f>IF($DN$6=2,ROUND(VLOOKUP(DQ12,許容応力!$B$6:$K$22,9)*1.1/3*100,0),ROUND(VLOOKUP(DQ12,許容応力!$B$6:$K$22,9)*1.1/3*1.3*100,0))</f>
        <v>#VALUE!</v>
      </c>
      <c r="DM12" s="63" t="e">
        <f>ROUND(VLOOKUP(DQ12,許容応力!$B$6:$K$22,9)*100*2/3*0.8,0)</f>
        <v>#VALUE!</v>
      </c>
      <c r="DN12" s="63">
        <f t="shared" si="7"/>
        <v>200</v>
      </c>
      <c r="DO12" s="63">
        <f>ROUND(I12*100/DN12,2)</f>
        <v>0</v>
      </c>
      <c r="DP12" s="63"/>
      <c r="DQ12" s="63" t="e">
        <f>+VALUE(RIGHT(J12,3))</f>
        <v>#VALUE!</v>
      </c>
      <c r="DR12" s="69">
        <f>ROUND(ATAN(E12/10)*180/PI(),4)</f>
        <v>0</v>
      </c>
      <c r="DS12" s="70">
        <f t="shared" si="8"/>
        <v>1</v>
      </c>
      <c r="DT12" s="63">
        <f>VLOOKUP(VALUE(RIGHT(C12,4)),$C$632:$F$641,4)</f>
        <v>200</v>
      </c>
      <c r="DU12" s="63">
        <f>ROUND(I12*100/DT12,2)</f>
        <v>0</v>
      </c>
      <c r="DV12" s="63"/>
      <c r="DW12" s="87"/>
      <c r="DX12" s="87" t="e">
        <f>ROUNDUP((準備!$F$60/100+準備!$E$48/100)*($G12+$H12)/2,2)</f>
        <v>#N/A</v>
      </c>
      <c r="DY12" s="63"/>
      <c r="DZ12" s="63"/>
      <c r="EA12" s="63"/>
      <c r="EB12" s="63" t="e">
        <f>ROUND(CX12*I12*100/2/AM12,1)</f>
        <v>#DIV/0!</v>
      </c>
      <c r="EC12" s="63" t="e">
        <f t="shared" si="9"/>
        <v>#DIV/0!</v>
      </c>
      <c r="ED12" s="63" t="e">
        <f>ROUND(CY12*I12*100/2/AM12,1)</f>
        <v>#VALUE!</v>
      </c>
      <c r="EE12" s="63" t="e">
        <f t="shared" si="10"/>
        <v>#VALUE!</v>
      </c>
      <c r="EF12" s="588"/>
      <c r="EG12" s="588"/>
      <c r="EH12" s="588"/>
      <c r="EI12" s="63" t="str">
        <f>IF(M12=0,"",ROUND(CX12*I12*100/2/DJ12,2))</f>
        <v/>
      </c>
      <c r="EJ12" s="63" t="str">
        <f>IF(M12=0,"",ROUND(CY12*I12*100/2/DK12,2))</f>
        <v/>
      </c>
      <c r="EK12" s="63"/>
      <c r="EL12" s="63" t="e">
        <f>ROUNDUP(ER12/3,-1)*3</f>
        <v>#VALUE!</v>
      </c>
      <c r="EM12" s="63" t="e">
        <f>ROUNDUP(ES12/3,-1)*3</f>
        <v>#VALUE!</v>
      </c>
      <c r="EO12" s="63" t="e">
        <f>ROUNDUP(EU12/3,-1)*3</f>
        <v>#VALUE!</v>
      </c>
      <c r="EP12" s="63" t="e">
        <f>ROUNDUP(EV12/3,-1)*3</f>
        <v>#VALUE!</v>
      </c>
      <c r="EQ12" s="155" t="e">
        <f t="shared" si="11"/>
        <v>#VALUE!</v>
      </c>
      <c r="ER12" s="63" t="e">
        <f>ROUND(SQRT(ROUND(EW12/DH12*6/(K12/10)/IF(AB12=0,1,AB12),1))*10,0)</f>
        <v>#VALUE!</v>
      </c>
      <c r="ES12" s="3" t="e">
        <f>POWER(ROUND(EX12/(K12/10)*12,0)/IF(AB12=0,1,AB12)/DO12,1/3)*10</f>
        <v>#VALUE!</v>
      </c>
      <c r="ET12" s="63"/>
      <c r="EU12" s="63" t="e">
        <f>ROUND(SQRT(ROUND(EZ12/DI12*6/(K12/10)/IF(AB12=0,1,AB12),1))*10,2)</f>
        <v>#VALUE!</v>
      </c>
      <c r="EV12" s="3" t="e">
        <f>POWER(ROUND(FA12/(K12/10)*12,0)/IF(AB12=0,1,AB12)/DU12,1/3)*10</f>
        <v>#VALUE!</v>
      </c>
      <c r="EW12" s="63">
        <f>ROUNDUP(CX12*POWER(I12*100,2)/8,1)</f>
        <v>0</v>
      </c>
      <c r="EX12" s="63" t="e">
        <f>ROUNDUP(5*$CX12*POWER($I12*100,4)/(384*VLOOKUP(VALUE(RIGHT($J12,4)),許容応力!$B$6:$K$22,10)*100),2)</f>
        <v>#VALUE!</v>
      </c>
      <c r="EY12" s="63"/>
      <c r="EZ12" s="63" t="e">
        <f>ROUNDUP(CY12*POWER(I12*100,2)/8,1)</f>
        <v>#VALUE!</v>
      </c>
      <c r="FA12" s="63" t="e">
        <f>ROUNDUP(5*$CY12*POWER($I12*100,4)/(384*VLOOKUP(VALUE(RIGHT($J12,4)),許容応力!$B$6:$K$22,10)*100),2)</f>
        <v>#VALUE!</v>
      </c>
      <c r="FB12" s="63"/>
      <c r="FC12" s="57"/>
      <c r="FD12" s="57"/>
      <c r="FE12" s="57"/>
      <c r="FF12" s="57"/>
      <c r="FG12" s="57"/>
      <c r="FH12" s="57"/>
      <c r="FI12" s="57"/>
    </row>
    <row r="13" spans="2:165" ht="15.95" customHeight="1" thickBot="1" x14ac:dyDescent="0.2">
      <c r="B13" s="1161"/>
      <c r="C13" s="1163"/>
      <c r="D13" s="330"/>
      <c r="E13" s="1357"/>
      <c r="F13" s="1166"/>
      <c r="G13" s="1359"/>
      <c r="H13" s="1359"/>
      <c r="I13" s="1359"/>
      <c r="J13" s="1521"/>
      <c r="K13" s="1193">
        <f>+IF(J12=0,0,"丸太末口 φ")</f>
        <v>0</v>
      </c>
      <c r="L13" s="1194"/>
      <c r="M13" s="239">
        <f>IF(J12=0,0,+EQ13)</f>
        <v>0</v>
      </c>
      <c r="N13" s="240" t="str">
        <f t="shared" si="0"/>
        <v/>
      </c>
      <c r="O13" s="1519"/>
      <c r="P13" s="1478"/>
      <c r="Q13" s="1572"/>
      <c r="R13" s="1572"/>
      <c r="S13" s="1617"/>
      <c r="T13" s="1572"/>
      <c r="U13" s="1572"/>
      <c r="V13" s="1020" t="str">
        <f>+K$184</f>
        <v/>
      </c>
      <c r="W13" s="1321"/>
      <c r="X13" s="1497"/>
      <c r="Y13" s="1312"/>
      <c r="Z13" s="1312"/>
      <c r="AA13" s="1254"/>
      <c r="AB13" s="1120"/>
      <c r="AC13" s="206" t="str">
        <f t="shared" si="1"/>
        <v/>
      </c>
      <c r="AD13" s="206" t="str">
        <f t="shared" si="2"/>
        <v/>
      </c>
      <c r="AE13" s="1254"/>
      <c r="AF13" s="206" t="str">
        <f t="shared" si="3"/>
        <v/>
      </c>
      <c r="AG13" s="206" t="str">
        <f t="shared" si="4"/>
        <v/>
      </c>
      <c r="AH13" s="1470"/>
      <c r="AI13" s="817"/>
      <c r="AJ13" s="809"/>
      <c r="AK13" s="822"/>
      <c r="AL13" s="810"/>
      <c r="AM13" s="1301"/>
      <c r="AN13" s="1301"/>
      <c r="AO13" s="1303"/>
      <c r="AP13" s="184">
        <f>+IF(I12=0,0,"1/")</f>
        <v>0</v>
      </c>
      <c r="AQ13" s="185">
        <f>IF(I12=0,0,+DN13)</f>
        <v>0</v>
      </c>
      <c r="AR13" s="23"/>
      <c r="AS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1312"/>
      <c r="CN13" s="1301"/>
      <c r="CO13" s="548"/>
      <c r="CP13" s="9" t="e">
        <f>ROUNDUP(CX13*I12*100/2/DL13,2)</f>
        <v>#VALUE!</v>
      </c>
      <c r="CQ13" s="9" t="e">
        <f>ROUNDUP(CY13*I12*100/2/DM13,2)</f>
        <v>#VALUE!</v>
      </c>
      <c r="CR13" s="23" t="e">
        <f t="shared" si="5"/>
        <v>#VALUE!</v>
      </c>
      <c r="CS13" s="9">
        <f>IF(M13=0,0,ROUNDUP(SQRT(AA13*(M13/10-6)*(M13/10-3))/(X13*X13),2))</f>
        <v>0</v>
      </c>
      <c r="CT13" s="63"/>
      <c r="CU13" s="63">
        <f t="shared" si="6"/>
        <v>0</v>
      </c>
      <c r="CV13" s="63" t="e">
        <f>ROUNDUP(IF(VALUE(RIGHT($G$3,4))=1,$I$3*30*F12*100,$I$3*20*F12*100),0)</f>
        <v>#VALUE!</v>
      </c>
      <c r="CW13" s="63"/>
      <c r="CX13" s="63">
        <f>ROUNDUP((準備!$G$57/100/DS13+IF(AND(VALUE(RIGHT($G$3,4))=1,$T$3=2),CU13/100*1.2,CU13/100))*(G12+H12)/2,2)</f>
        <v>0</v>
      </c>
      <c r="CY13" s="63" t="e">
        <f>ROUNDUP((準備!$G$57/100/DS13+IF(AND(VALUE(RIGHT($G$3,4))=1,$T$3=2),CV13/100*1.2,CV13/100))*(G12+H12)/2,2)</f>
        <v>#VALUE!</v>
      </c>
      <c r="CZ13" s="63">
        <f>IF($K13=0,0,ROUNDUP($CX13*POWER($I12*100,2)/8/$DF13,1))</f>
        <v>0</v>
      </c>
      <c r="DA13" s="63">
        <f>IF($K13=0,0,ROUNDUP(5*$CX13*POWER($I12*100,4)/(384*VLOOKUP(VALUE(RIGHT($J12,4)),許容応力!$L$6:$U$22,10)*100*$DG13),2))</f>
        <v>0</v>
      </c>
      <c r="DB13" s="63" t="e">
        <f>ROUND((CX13*I12*100/2+EA13)/Z13,1)</f>
        <v>#DIV/0!</v>
      </c>
      <c r="DC13" s="63" t="e">
        <f>ROUNDUP($CY13*POWER($I12*100,2)/8/$DF13,1)</f>
        <v>#VALUE!</v>
      </c>
      <c r="DD13" s="63" t="e">
        <f>ROUNDUP(5*$CY13*POWER($I12*100,4)/(384*VLOOKUP(VALUE(RIGHT($J12,4)),許容応力!$L$6:$U$22,10)*100*$DG13),2)</f>
        <v>#VALUE!</v>
      </c>
      <c r="DE13" s="63" t="e">
        <f>ROUND((CY13*I12*100/2+EA13)/Z13,1)</f>
        <v>#VALUE!</v>
      </c>
      <c r="DF13" s="63">
        <f>IF(M13&lt;180,ROUND((M13/10-3)*POWER(M13/10-3,2)/6*IF(AB13=0,1,AB13),0),ROUND((M13/10-5)*POWER(M13/10-3,2)/6*IF($AB13=0,1,$AB13),0))</f>
        <v>-5</v>
      </c>
      <c r="DG13" s="63">
        <f>ROUND(IF(M13&lt;180,(M13/10-3)*POWER((M13/10-3),3)/12*IF(AB13=0,1,AB13),(M13/10-5))*POWER((M13/10-3),3)/12*IF(AB13=0,1,AB13),0)</f>
        <v>-15</v>
      </c>
      <c r="DH13" s="10" t="e">
        <f>IF($DN$6=2,ROUND(VLOOKUP(DQ13,許容応力!$L$6:$U$22,7)*1.1/3*100,0),ROUND(VLOOKUP(DQ13,許容応力!$L$6:$U$22,7)*1.1/3*1.3*100,0))</f>
        <v>#VALUE!</v>
      </c>
      <c r="DI13" s="63" t="e">
        <f>ROUND(VLOOKUP(DQ13,許容応力!$L$6:$U$22,7)*100*2/3*0.8,0)</f>
        <v>#VALUE!</v>
      </c>
      <c r="DJ13" s="10" t="e">
        <f>IF($DN$6=2,ROUND(VLOOKUP(DQ13,許容応力!$L$6:$U$22,8)*1.1/3*100,0),ROUND(VLOOKUP(DQ13,許容応力!$L$6:$U$22,8)*1.1/3*1.3*100,0))</f>
        <v>#VALUE!</v>
      </c>
      <c r="DK13" s="63" t="e">
        <f>ROUND(VLOOKUP(DQ13,許容応力!$L$6:$U$22,8)*100*2/3*0.8,0)</f>
        <v>#VALUE!</v>
      </c>
      <c r="DL13" s="10" t="e">
        <f>IF($DN$6=2,ROUND(VLOOKUP(DQ13,許容応力!$L$6:$U$22,9)*1.1/3*100,0),ROUND(VLOOKUP(DQ13,許容応力!$L$6:$U$22,9)*1.1/3*1.3*100,0))</f>
        <v>#VALUE!</v>
      </c>
      <c r="DM13" s="63" t="e">
        <f>ROUND(VLOOKUP(DQ13,許容応力!$L$6:$U$22,9)*100*2/3*0.8,0)</f>
        <v>#VALUE!</v>
      </c>
      <c r="DN13" s="63">
        <f t="shared" si="7"/>
        <v>200</v>
      </c>
      <c r="DO13" s="63">
        <f>ROUND(I12*100/DN13,2)</f>
        <v>0</v>
      </c>
      <c r="DP13" s="63"/>
      <c r="DQ13" s="63" t="e">
        <f>+VALUE(RIGHT(J12,3))</f>
        <v>#VALUE!</v>
      </c>
      <c r="DR13" s="69">
        <f>ROUND(ATAN(E12/10)*180/PI(),4)</f>
        <v>0</v>
      </c>
      <c r="DS13" s="70">
        <f t="shared" si="8"/>
        <v>1</v>
      </c>
      <c r="DT13" s="63">
        <f>VLOOKUP(VALUE(RIGHT(C12,4)),$C$632:$F$641,4)</f>
        <v>200</v>
      </c>
      <c r="DU13" s="63">
        <f>ROUND(I12*100/DT13,2)</f>
        <v>0</v>
      </c>
      <c r="DV13" s="63"/>
      <c r="DW13" s="78"/>
      <c r="DX13" s="78" t="e">
        <f>ROUNDUP((準備!$F$60/100+準備!$E$48/100)*($G12+$H12)/2,2)</f>
        <v>#N/A</v>
      </c>
      <c r="DY13" s="71">
        <f>IF(I12&lt;6,POWER(M13/10,2)*I12/10000,POWER((M13/10+(ROUNDDOWN(I12,0)-4)/2),2)*I12/10000)</f>
        <v>0</v>
      </c>
      <c r="DZ13" s="63">
        <v>200</v>
      </c>
      <c r="EA13" s="84">
        <f>ROUND(DY13*DZ13/100,0)</f>
        <v>0</v>
      </c>
      <c r="EB13" s="63" t="e">
        <f>ROUND((CX13*I12*100/2+EA13)/AM13,1)</f>
        <v>#DIV/0!</v>
      </c>
      <c r="EC13" s="63" t="e">
        <f t="shared" si="9"/>
        <v>#DIV/0!</v>
      </c>
      <c r="ED13" s="63" t="e">
        <f>ROUND((CY13*I12*100/2+EA13)/AM13,1)</f>
        <v>#VALUE!</v>
      </c>
      <c r="EE13" s="63" t="e">
        <f t="shared" si="10"/>
        <v>#VALUE!</v>
      </c>
      <c r="EF13" s="63"/>
      <c r="EG13" s="63"/>
      <c r="EH13" s="63"/>
      <c r="EI13" s="63" t="str">
        <f>IF(M13=0,"",ROUND(CX13*I12*100/2/DJ13,2))</f>
        <v/>
      </c>
      <c r="EJ13" s="63" t="str">
        <f>IF(M13=0,"",ROUND(CY13*I12*100/2/DK13,2))</f>
        <v/>
      </c>
      <c r="EK13" s="63"/>
      <c r="EL13" s="63" t="e">
        <f>IF(AB13=0.8,VLOOKUP(ER13,$CR$395:$CS$439,2),IF(AB13=0.9,VLOOKUP(ER13,$CR$348:$CS$394,2),VLOOKUP(ER13,$CR$301:$CS$344,2)))</f>
        <v>#VALUE!</v>
      </c>
      <c r="EM13" s="63" t="e">
        <f>IF(AB13=0.8,VLOOKUP(ES13,$CT$395:$CU$439,2),IF(AB13=0.9,VLOOKUP(ES13,$CT$348:$CU$394,2),VLOOKUP(ES13,$CT$301:$CU$344,2)))</f>
        <v>#VALUE!</v>
      </c>
      <c r="EO13" s="63" t="e">
        <f>IF(AB13=0.8,VLOOKUP(EU13,$CR$395:$CS$439,2),IF(AB13=0.9,VLOOKUP(EU13,$CR$348:$CS$394,2),VLOOKUP(EU13,$CR$301:$CS$344,2)))</f>
        <v>#VALUE!</v>
      </c>
      <c r="EP13" s="63" t="e">
        <f>IF(AB13=0.8,VLOOKUP(EV13,$CT$395:$CU$439,2),IF(AB13=0.9,VLOOKUP(EV13,$CT$348:$CU$394,2),VLOOKUP(EV13,$CT$301:$CU$344,2)))</f>
        <v>#VALUE!</v>
      </c>
      <c r="EQ13" s="155" t="e">
        <f t="shared" si="11"/>
        <v>#VALUE!</v>
      </c>
      <c r="ER13" s="63" t="e">
        <f>ROUNDUP($CX13*POWER($I12*100,2)/8/DH13,1)</f>
        <v>#VALUE!</v>
      </c>
      <c r="ES13" s="63" t="e">
        <f>ROUNDUP(5*$CX13*POWER($I12*100,4)/(384*VLOOKUP(VALUE(RIGHT($J12,4)),許容応力!$B$6:$K$22,10)*100*$DO13),2)</f>
        <v>#VALUE!</v>
      </c>
      <c r="EU13" s="63" t="e">
        <f>ROUNDUP($CY13*POWER($I12*100,2)/8/$DI13,1)</f>
        <v>#VALUE!</v>
      </c>
      <c r="EV13" s="63" t="e">
        <f>ROUNDUP(5*$CY13*POWER($I12*100,4)/(384*VLOOKUP(VALUE(RIGHT($J12,4)),許容応力!$B$6:$K$22,10)*100*$DU13),2)</f>
        <v>#VALUE!</v>
      </c>
      <c r="EX13" s="63"/>
      <c r="EY13" s="63"/>
      <c r="EZ13" s="63"/>
      <c r="FA13" s="63"/>
      <c r="FB13" s="63"/>
      <c r="FC13" s="57"/>
      <c r="FD13" s="57"/>
      <c r="FE13" s="57"/>
      <c r="FF13" s="57"/>
      <c r="FG13" s="57"/>
      <c r="FH13" s="57"/>
      <c r="FI13" s="57"/>
    </row>
    <row r="14" spans="2:165" ht="15.95" customHeight="1" thickBot="1" x14ac:dyDescent="0.2">
      <c r="B14" s="1161"/>
      <c r="C14" s="1163" t="s">
        <v>813</v>
      </c>
      <c r="D14" s="331"/>
      <c r="E14" s="1357"/>
      <c r="F14" s="1165" t="str">
        <f>IF(E14=0,"",ROUND(SQRT(COS(DR14*1.5*PI()/180)),3))</f>
        <v/>
      </c>
      <c r="G14" s="1516"/>
      <c r="H14" s="1516"/>
      <c r="I14" s="1516"/>
      <c r="J14" s="1521"/>
      <c r="K14" s="1116"/>
      <c r="L14" s="196">
        <f>+IF(K14=0,0,"×")</f>
        <v>0</v>
      </c>
      <c r="M14" s="241">
        <f>IF(K14=0,0,+EQ14)</f>
        <v>0</v>
      </c>
      <c r="N14" s="242" t="str">
        <f t="shared" si="0"/>
        <v/>
      </c>
      <c r="O14" s="1520">
        <f t="shared" ref="O14" si="20">IF(Z14=0,0,IF(AND(U14=0,X14=0),0,IF(IF(AE14&gt;=AH14,AE14,AH14)&lt;=1,"OK!","NO!")))</f>
        <v>0</v>
      </c>
      <c r="P14" s="1478"/>
      <c r="Q14" s="1572"/>
      <c r="R14" s="1572"/>
      <c r="S14" s="1616">
        <f t="shared" ref="S14" si="21">+IF(R14=0,0,6)</f>
        <v>0</v>
      </c>
      <c r="T14" s="1572"/>
      <c r="U14" s="1572"/>
      <c r="V14" s="196" t="str">
        <f>+L$185</f>
        <v/>
      </c>
      <c r="W14" s="1321">
        <f>IF(U14=0,0,+VLOOKUP(V14,$I$204:$J$209,2))</f>
        <v>0</v>
      </c>
      <c r="X14" s="1496"/>
      <c r="Y14" s="1311">
        <f>IF(X14=0,0,+CS14)</f>
        <v>0</v>
      </c>
      <c r="Z14" s="1313">
        <f>IF(AND(R14=0,X14=0),0,+IF(AND(VALUE(RIGHT(P14,4))=2,R14&gt;0),0,IF(AND(VALUE(RIGHT(P14,4))=1,X14&gt;0),0,CM14)))</f>
        <v>0</v>
      </c>
      <c r="AA14" s="1314">
        <f>IF(X14=0,0,IF(EI14&gt;=EJ14,EI14,EJ14))</f>
        <v>0</v>
      </c>
      <c r="AB14" s="1121"/>
      <c r="AC14" s="201" t="str">
        <f t="shared" si="1"/>
        <v/>
      </c>
      <c r="AD14" s="201" t="str">
        <f t="shared" si="2"/>
        <v/>
      </c>
      <c r="AE14" s="1314">
        <f>IF(F14=+"",0,IF(AND(U14=0,X14=0),0,IF(X14=0,ROUND(DB14/(DJ14*$CP$4*W14),2),ROUND(DB14/DJ14,2))))</f>
        <v>0</v>
      </c>
      <c r="AF14" s="201" t="str">
        <f t="shared" si="3"/>
        <v/>
      </c>
      <c r="AG14" s="201" t="str">
        <f t="shared" si="4"/>
        <v/>
      </c>
      <c r="AH14" s="1314">
        <f>IF(F14=+"",0,IF(AND(U14=0,X14=0),0,IF(X14=0,ROUND(DE14/(DK14*$CP$4*W14),2),ROUND(DE14/DK14,2))))</f>
        <v>0</v>
      </c>
      <c r="AI14" s="818"/>
      <c r="AJ14" s="811"/>
      <c r="AK14" s="823"/>
      <c r="AL14" s="812"/>
      <c r="AM14" s="1300">
        <f>IF(AI14=0,0,ROUND(AI14*AJ14+AK14*AL14+AI15*AJ15+AK15*AL15,2))</f>
        <v>0</v>
      </c>
      <c r="AN14" s="1300">
        <f t="shared" ref="AN14" si="22">IF(AJ14=0,0,IF(CO14=1,CN14/($CP$4*W14),CN14))</f>
        <v>0</v>
      </c>
      <c r="AO14" s="1302" t="str">
        <f t="shared" ref="AO14" si="23">IF(AN14=0,"",IF(AN14&lt;=1,"OK!","NO!"))</f>
        <v/>
      </c>
      <c r="AP14" s="182">
        <f>+IF(I14=0,0,"1/")</f>
        <v>0</v>
      </c>
      <c r="AQ14" s="183">
        <f>IF(I14=0,0,+DN14)</f>
        <v>0</v>
      </c>
      <c r="AR14" s="23"/>
      <c r="AS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1313">
        <f>IF(AND(U14=0,X14=0),0,IF(U14&gt;0,L$196/100*$CP$4*W14,ROUND(POWER(X14*Y14,2)/(K14/10*M14/10),2)))</f>
        <v>0</v>
      </c>
      <c r="CN14" s="1304" t="str">
        <f>IF($AJ14=0,"",IF($EC14&gt;=$EE14,$EC14,$EE14))</f>
        <v/>
      </c>
      <c r="CO14" s="552">
        <f>IF(P14=0,0,+VALUE(RIGHT(P14,4)))</f>
        <v>0</v>
      </c>
      <c r="CP14" s="9" t="e">
        <f>ROUNDUP(CX14*I14*100/2/DL14,2)</f>
        <v>#VALUE!</v>
      </c>
      <c r="CQ14" s="9" t="e">
        <f>ROUNDUP(CY14*I14*100/2/DM14,2)</f>
        <v>#VALUE!</v>
      </c>
      <c r="CR14" s="23" t="e">
        <f t="shared" si="5"/>
        <v>#VALUE!</v>
      </c>
      <c r="CS14" s="9">
        <f>IF(M14=0,0,ROUNDUP(SQRT((AA14*K14/10*M14/10)/(X14*X14)),2))</f>
        <v>0</v>
      </c>
      <c r="CT14" s="75"/>
      <c r="CU14" s="63">
        <f t="shared" si="6"/>
        <v>0</v>
      </c>
      <c r="CV14" s="63" t="e">
        <f>ROUNDUP(IF(VALUE(RIGHT($G$3,4))=1,$I$3*30*F14*100,$I$3*20*F14*100),0)</f>
        <v>#VALUE!</v>
      </c>
      <c r="CW14" s="63"/>
      <c r="CX14" s="63">
        <f>ROUNDUP((準備!$G$57/100/DS14+IF(AND(VALUE(RIGHT($G$3,4))=1,$T$3=2),CU14/100*1.2,CU14/100))*(G14+H14)/2,2)</f>
        <v>0</v>
      </c>
      <c r="CY14" s="63" t="e">
        <f>ROUNDUP((準備!$G$57/100/DS14+IF(AND(VALUE(RIGHT($G$3,4))=1,$T$3=2),CV14/100*1.2,CV14/100))*(G14+H14)/2,2)</f>
        <v>#VALUE!</v>
      </c>
      <c r="CZ14" s="63" t="e">
        <f>ROUNDUP(CX14*POWER(I14*100,2)/8/DF14,1)</f>
        <v>#DIV/0!</v>
      </c>
      <c r="DA14" s="63" t="e">
        <f>ROUNDUP(5*$CX14*POWER($I14*100,4)/(384*VLOOKUP(VALUE(RIGHT($J14,4)),許容応力!$B$6:$K$22,10)*100*$DG14),2)</f>
        <v>#VALUE!</v>
      </c>
      <c r="DB14" s="63" t="e">
        <f>ROUND(CX14*I14*100/2/Z14,1)</f>
        <v>#DIV/0!</v>
      </c>
      <c r="DC14" s="63" t="e">
        <f>ROUNDUP(CY14*POWER(I14*100,2)/8/DF14,1)</f>
        <v>#VALUE!</v>
      </c>
      <c r="DD14" s="63" t="e">
        <f>ROUNDUP(5*$CY14*POWER($I14*100,4)/(384*VLOOKUP(VALUE(RIGHT($J14,4)),許容応力!$B$6:$K$22,10)*100*$DG14),2)</f>
        <v>#VALUE!</v>
      </c>
      <c r="DE14" s="63" t="e">
        <f>ROUND(CY14*I14*100/2/Z14,1)</f>
        <v>#VALUE!</v>
      </c>
      <c r="DF14" s="63">
        <f>ROUNDDOWN(K14/10*POWER(M14/10,2)/6*IF(OR(AB14=0,AB14=1),1,AB14),0)</f>
        <v>0</v>
      </c>
      <c r="DG14" s="63">
        <f>ROUNDDOWN(K14/10*POWER(M14/10,3)/12*IF(OR(AB14=0,AB14=1),1,AB14),0)</f>
        <v>0</v>
      </c>
      <c r="DH14" s="10" t="e">
        <f>IF($DN$6=2,ROUND(VLOOKUP(DQ14,許容応力!$B$6:$K$22,7)*1.1/3*100,0),ROUND(VLOOKUP(DQ14,許容応力!$B$6:$K$22,7)*1.1/3*1.3*100,0))</f>
        <v>#VALUE!</v>
      </c>
      <c r="DI14" s="63" t="e">
        <f>ROUND(VLOOKUP(DQ14,許容応力!$B$6:$K$22,7)*100*2/3*0.8,0)</f>
        <v>#VALUE!</v>
      </c>
      <c r="DJ14" s="10" t="e">
        <f>IF($DN$6=2,ROUND(VLOOKUP(DQ14,許容応力!$B$6:$K$22,8)*1.1/3*100,0),ROUND(VLOOKUP(DQ14,許容応力!$B$6:$K$22,8)*1.1/3*1.3*100,0))</f>
        <v>#VALUE!</v>
      </c>
      <c r="DK14" s="63" t="e">
        <f>ROUND(VLOOKUP(DQ14,許容応力!$B$6:$K$22,8)*100*2/3*0.8,0)</f>
        <v>#VALUE!</v>
      </c>
      <c r="DL14" s="10" t="e">
        <f>IF($DN$6=2,ROUND(VLOOKUP(DQ14,許容応力!$B$6:$K$22,9)*1.1/3*100,0),ROUND(VLOOKUP(DQ14,許容応力!$B$6:$K$22,9)*1.1/3*1.3*100,0))</f>
        <v>#VALUE!</v>
      </c>
      <c r="DM14" s="63" t="e">
        <f>ROUND(VLOOKUP(DQ14,許容応力!$B$6:$K$22,9)*100*2/3*0.8,0)</f>
        <v>#VALUE!</v>
      </c>
      <c r="DN14" s="63">
        <f t="shared" si="7"/>
        <v>200</v>
      </c>
      <c r="DO14" s="63">
        <f>ROUND(I14*100/DN14,2)</f>
        <v>0</v>
      </c>
      <c r="DP14" s="63"/>
      <c r="DQ14" s="63" t="e">
        <f>+VALUE(RIGHT(J14,3))</f>
        <v>#VALUE!</v>
      </c>
      <c r="DR14" s="69">
        <f>ROUND(ATAN(E14/10)*180/PI(),4)</f>
        <v>0</v>
      </c>
      <c r="DS14" s="70">
        <f t="shared" si="8"/>
        <v>1</v>
      </c>
      <c r="DT14" s="63">
        <f>VLOOKUP(VALUE(RIGHT(C14,4)),$C$632:$F$641,4)</f>
        <v>200</v>
      </c>
      <c r="DU14" s="63">
        <f>ROUND(I14*100/DT14,2)</f>
        <v>0</v>
      </c>
      <c r="DV14" s="63"/>
      <c r="DW14" s="87"/>
      <c r="DX14" s="87" t="e">
        <f>ROUNDUP((準備!$F$60/100+準備!$E$48/100)*($G14+$H14)/2,2)</f>
        <v>#N/A</v>
      </c>
      <c r="DY14" s="63"/>
      <c r="DZ14" s="63"/>
      <c r="EA14" s="63"/>
      <c r="EB14" s="63" t="e">
        <f>ROUND(CX14*I14*100/2/AM14,1)</f>
        <v>#DIV/0!</v>
      </c>
      <c r="EC14" s="63" t="e">
        <f t="shared" si="9"/>
        <v>#DIV/0!</v>
      </c>
      <c r="ED14" s="63" t="e">
        <f>ROUND(CY14*I14*100/2/AM14,1)</f>
        <v>#VALUE!</v>
      </c>
      <c r="EE14" s="63" t="e">
        <f t="shared" si="10"/>
        <v>#VALUE!</v>
      </c>
      <c r="EF14" s="588"/>
      <c r="EG14" s="588"/>
      <c r="EH14" s="588"/>
      <c r="EI14" s="63" t="str">
        <f>IF(M14=0,"",ROUND(CX14*I14*100/2/DJ14,2))</f>
        <v/>
      </c>
      <c r="EJ14" s="63" t="str">
        <f>IF(M14=0,"",ROUND(CY14*I14*100/2/DK14,2))</f>
        <v/>
      </c>
      <c r="EK14" s="63"/>
      <c r="EL14" s="63" t="e">
        <f>ROUNDUP(ER14/3,-1)*3</f>
        <v>#VALUE!</v>
      </c>
      <c r="EM14" s="63" t="e">
        <f>ROUNDUP(ES14/3,-1)*3</f>
        <v>#VALUE!</v>
      </c>
      <c r="EO14" s="63" t="e">
        <f>ROUNDUP(EU14/3,-1)*3</f>
        <v>#VALUE!</v>
      </c>
      <c r="EP14" s="63" t="e">
        <f>ROUNDUP(EV14/3,-1)*3</f>
        <v>#VALUE!</v>
      </c>
      <c r="EQ14" s="155" t="e">
        <f t="shared" si="11"/>
        <v>#VALUE!</v>
      </c>
      <c r="ER14" s="63" t="e">
        <f>ROUND(SQRT(ROUND(EW14/DH14*6/(K14/10)/IF(AB14=0,1,AB14),1))*10,0)</f>
        <v>#VALUE!</v>
      </c>
      <c r="ES14" s="3" t="e">
        <f>POWER(ROUND(EX14/(K14/10)*12,0)/IF(AB14=0,1,AB14)/DO14,1/3)*10</f>
        <v>#VALUE!</v>
      </c>
      <c r="ET14" s="63"/>
      <c r="EU14" s="63" t="e">
        <f>ROUND(SQRT(ROUND(EZ14/DI14*6/(K14/10)/IF(AB14=0,1,AB14),1))*10,2)</f>
        <v>#VALUE!</v>
      </c>
      <c r="EV14" s="3" t="e">
        <f>POWER(ROUND(FA14/(K14/10)*12,0)/IF(AB14=0,1,AB14)/DU14,1/3)*10</f>
        <v>#VALUE!</v>
      </c>
      <c r="EW14" s="63">
        <f>ROUNDUP(CX14*POWER(I14*100,2)/8,1)</f>
        <v>0</v>
      </c>
      <c r="EX14" s="63" t="e">
        <f>ROUNDUP(5*$CX14*POWER($I14*100,4)/(384*VLOOKUP(VALUE(RIGHT($J14,4)),許容応力!$B$6:$K$22,10)*100),2)</f>
        <v>#VALUE!</v>
      </c>
      <c r="EY14" s="63"/>
      <c r="EZ14" s="63" t="e">
        <f>ROUNDUP(CY14*POWER(I14*100,2)/8,1)</f>
        <v>#VALUE!</v>
      </c>
      <c r="FA14" s="63" t="e">
        <f>ROUNDUP(5*$CY14*POWER($I14*100,4)/(384*VLOOKUP(VALUE(RIGHT($J14,4)),許容応力!$B$6:$K$22,10)*100),2)</f>
        <v>#VALUE!</v>
      </c>
      <c r="FB14" s="63"/>
      <c r="FC14" s="57"/>
      <c r="FD14" s="57"/>
      <c r="FE14" s="57"/>
      <c r="FF14" s="57"/>
      <c r="FG14" s="57"/>
      <c r="FH14" s="57"/>
      <c r="FI14" s="57"/>
    </row>
    <row r="15" spans="2:165" ht="15.95" customHeight="1" thickBot="1" x14ac:dyDescent="0.2">
      <c r="B15" s="1161"/>
      <c r="C15" s="1163"/>
      <c r="D15" s="330"/>
      <c r="E15" s="1357"/>
      <c r="F15" s="1166"/>
      <c r="G15" s="1359"/>
      <c r="H15" s="1359"/>
      <c r="I15" s="1359"/>
      <c r="J15" s="1521"/>
      <c r="K15" s="1193">
        <f>+IF(J14=0,0,"丸太末口 φ")</f>
        <v>0</v>
      </c>
      <c r="L15" s="1194"/>
      <c r="M15" s="239">
        <f>IF(J14=0,0,+EQ15)</f>
        <v>0</v>
      </c>
      <c r="N15" s="240" t="str">
        <f t="shared" si="0"/>
        <v/>
      </c>
      <c r="O15" s="1519"/>
      <c r="P15" s="1478"/>
      <c r="Q15" s="1572"/>
      <c r="R15" s="1572"/>
      <c r="S15" s="1617"/>
      <c r="T15" s="1572"/>
      <c r="U15" s="1572"/>
      <c r="V15" s="1020" t="str">
        <f>+L$184</f>
        <v/>
      </c>
      <c r="W15" s="1321"/>
      <c r="X15" s="1497"/>
      <c r="Y15" s="1312"/>
      <c r="Z15" s="1312"/>
      <c r="AA15" s="1254"/>
      <c r="AB15" s="1120"/>
      <c r="AC15" s="206" t="str">
        <f t="shared" si="1"/>
        <v/>
      </c>
      <c r="AD15" s="206" t="str">
        <f t="shared" si="2"/>
        <v/>
      </c>
      <c r="AE15" s="1254"/>
      <c r="AF15" s="206" t="str">
        <f t="shared" si="3"/>
        <v/>
      </c>
      <c r="AG15" s="206" t="str">
        <f t="shared" si="4"/>
        <v/>
      </c>
      <c r="AH15" s="1470"/>
      <c r="AI15" s="817"/>
      <c r="AJ15" s="809"/>
      <c r="AK15" s="822"/>
      <c r="AL15" s="810"/>
      <c r="AM15" s="1301"/>
      <c r="AN15" s="1301"/>
      <c r="AO15" s="1303"/>
      <c r="AP15" s="184">
        <f>+IF(I14=0,0,"1/")</f>
        <v>0</v>
      </c>
      <c r="AQ15" s="185">
        <f>IF(I14=0,0,+DN15)</f>
        <v>0</v>
      </c>
      <c r="AR15" s="23"/>
      <c r="AS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1312"/>
      <c r="CN15" s="1301"/>
      <c r="CO15" s="548"/>
      <c r="CP15" s="9" t="e">
        <f>ROUNDUP(CX15*I14*100/2/DL15,2)</f>
        <v>#VALUE!</v>
      </c>
      <c r="CQ15" s="9" t="e">
        <f>ROUNDUP(CY15*I14*100/2/DM15,2)</f>
        <v>#VALUE!</v>
      </c>
      <c r="CR15" s="23" t="e">
        <f t="shared" si="5"/>
        <v>#VALUE!</v>
      </c>
      <c r="CS15" s="9">
        <f>IF(M15=0,0,ROUNDUP(SQRT(AA15*(M15/10-6)*(M15/10-3))/(X15*X15),2))</f>
        <v>0</v>
      </c>
      <c r="CT15" s="63"/>
      <c r="CU15" s="63">
        <f t="shared" si="6"/>
        <v>0</v>
      </c>
      <c r="CV15" s="63" t="e">
        <f>ROUNDUP(IF(VALUE(RIGHT($G$3,4))=1,$I$3*30*F14*100,$I$3*20*F14*100),0)</f>
        <v>#VALUE!</v>
      </c>
      <c r="CW15" s="63"/>
      <c r="CX15" s="63">
        <f>ROUNDUP((準備!$G$57/100/DS15+IF(AND(VALUE(RIGHT($G$3,4))=1,$T$3=2),CU15/100*1.2,CU15/100))*(G14+H14)/2,2)</f>
        <v>0</v>
      </c>
      <c r="CY15" s="63" t="e">
        <f>ROUNDUP((準備!$G$57/100/DS15+IF(AND(VALUE(RIGHT($G$3,4))=1,$T$3=2),CV15/100*1.2,CV15/100))*(G14+H14)/2,2)</f>
        <v>#VALUE!</v>
      </c>
      <c r="CZ15" s="63">
        <f>IF($K15=0,0,ROUNDUP($CX15*POWER($I14*100,2)/8/$DF15,1))</f>
        <v>0</v>
      </c>
      <c r="DA15" s="63">
        <f>IF($K15=0,0,ROUNDUP(5*$CX15*POWER($I14*100,4)/(384*VLOOKUP(VALUE(RIGHT($J14,4)),許容応力!$L$6:$U$22,10)*100*$DG15),2))</f>
        <v>0</v>
      </c>
      <c r="DB15" s="63" t="e">
        <f>ROUND((CX15*I14*100/2+EA15)/Z15,1)</f>
        <v>#DIV/0!</v>
      </c>
      <c r="DC15" s="63" t="e">
        <f>ROUNDUP($CY15*POWER($I14*100,2)/8/$DF15,1)</f>
        <v>#VALUE!</v>
      </c>
      <c r="DD15" s="63" t="e">
        <f>ROUNDUP(5*$CY15*POWER($I14*100,4)/(384*VLOOKUP(VALUE(RIGHT($J14,4)),許容応力!$L$6:$U$22,10)*100*$DG15),2)</f>
        <v>#VALUE!</v>
      </c>
      <c r="DE15" s="63" t="e">
        <f>ROUND((CY15*I14*100/2+EA15)/Z15,1)</f>
        <v>#VALUE!</v>
      </c>
      <c r="DF15" s="63">
        <f>IF(M15&lt;180,ROUND((M15/10-3)*POWER(M15/10-3,2)/6*IF(AB15=0,1,AB15),0),ROUND((M15/10-5)*POWER(M15/10-3,2)/6*IF($AB15=0,1,$AB15),0))</f>
        <v>-5</v>
      </c>
      <c r="DG15" s="63">
        <f>ROUND(IF(M15&lt;180,(M15/10-3)*POWER((M15/10-3),3)/12*IF(AB15=0,1,AB15),(M15/10-5))*POWER((M15/10-3),3)/12*IF(AB15=0,1,AB15),0)</f>
        <v>-15</v>
      </c>
      <c r="DH15" s="10" t="e">
        <f>IF($DN$6=2,ROUND(VLOOKUP(DQ15,許容応力!$L$6:$U$22,7)*1.1/3*100,0),ROUND(VLOOKUP(DQ15,許容応力!$L$6:$U$22,7)*1.1/3*1.3*100,0))</f>
        <v>#VALUE!</v>
      </c>
      <c r="DI15" s="63" t="e">
        <f>ROUND(VLOOKUP(DQ15,許容応力!$L$6:$U$22,7)*100*2/3*0.8,0)</f>
        <v>#VALUE!</v>
      </c>
      <c r="DJ15" s="10" t="e">
        <f>IF($DN$6=2,ROUND(VLOOKUP(DQ15,許容応力!$L$6:$U$22,8)*1.1/3*100,0),ROUND(VLOOKUP(DQ15,許容応力!$L$6:$U$22,8)*1.1/3*1.3*100,0))</f>
        <v>#VALUE!</v>
      </c>
      <c r="DK15" s="63" t="e">
        <f>ROUND(VLOOKUP(DQ15,許容応力!$L$6:$U$22,8)*100*2/3*0.8,0)</f>
        <v>#VALUE!</v>
      </c>
      <c r="DL15" s="10" t="e">
        <f>IF($DN$6=2,ROUND(VLOOKUP(DQ15,許容応力!$L$6:$U$22,9)*1.1/3*100,0),ROUND(VLOOKUP(DQ15,許容応力!$L$6:$U$22,9)*1.1/3*1.3*100,0))</f>
        <v>#VALUE!</v>
      </c>
      <c r="DM15" s="63" t="e">
        <f>ROUND(VLOOKUP(DQ15,許容応力!$L$6:$U$22,9)*100*2/3*0.8,0)</f>
        <v>#VALUE!</v>
      </c>
      <c r="DN15" s="63">
        <f t="shared" si="7"/>
        <v>200</v>
      </c>
      <c r="DO15" s="63">
        <f>ROUND(I14*100/DN15,2)</f>
        <v>0</v>
      </c>
      <c r="DP15" s="63"/>
      <c r="DQ15" s="63" t="e">
        <f>+VALUE(RIGHT(J14,3))</f>
        <v>#VALUE!</v>
      </c>
      <c r="DR15" s="69">
        <f>ROUND(ATAN(E14/10)*180/PI(),4)</f>
        <v>0</v>
      </c>
      <c r="DS15" s="70">
        <f t="shared" si="8"/>
        <v>1</v>
      </c>
      <c r="DT15" s="63">
        <f>VLOOKUP(VALUE(RIGHT(C14,4)),$C$632:$F$641,4)</f>
        <v>200</v>
      </c>
      <c r="DU15" s="63">
        <f>ROUND(I14*100/DT15,2)</f>
        <v>0</v>
      </c>
      <c r="DV15" s="63"/>
      <c r="DW15" s="78"/>
      <c r="DX15" s="78" t="e">
        <f>ROUNDUP((準備!$F$60/100+準備!$E$48/100)*($G14+$H14)/2,2)</f>
        <v>#N/A</v>
      </c>
      <c r="DY15" s="71">
        <f>IF(I14&lt;6,POWER(M15/10,2)*I14/10000,POWER((M15/10+(ROUNDDOWN(I14,0)-4)/2),2)*I14/10000)</f>
        <v>0</v>
      </c>
      <c r="DZ15" s="63">
        <v>200</v>
      </c>
      <c r="EA15" s="84">
        <f>ROUND(DY15*DZ15/100,0)</f>
        <v>0</v>
      </c>
      <c r="EB15" s="63" t="e">
        <f>ROUND((CX15*I14*100/2+EA15)/AM15,1)</f>
        <v>#DIV/0!</v>
      </c>
      <c r="EC15" s="63" t="e">
        <f t="shared" si="9"/>
        <v>#DIV/0!</v>
      </c>
      <c r="ED15" s="63" t="e">
        <f>ROUND((CY15*I14*100/2+EA15)/AM15,1)</f>
        <v>#VALUE!</v>
      </c>
      <c r="EE15" s="63" t="e">
        <f t="shared" si="10"/>
        <v>#VALUE!</v>
      </c>
      <c r="EF15" s="63"/>
      <c r="EG15" s="63"/>
      <c r="EH15" s="63"/>
      <c r="EI15" s="63" t="str">
        <f>IF(M15=0,"",ROUND(CX15*I14*100/2/DJ15,2))</f>
        <v/>
      </c>
      <c r="EJ15" s="63" t="str">
        <f>IF(M15=0,"",ROUND(CY15*I14*100/2/DK15,2))</f>
        <v/>
      </c>
      <c r="EK15" s="63"/>
      <c r="EL15" s="63" t="e">
        <f>IF(AB15=0.8,VLOOKUP(ER15,$CR$395:$CS$439,2),IF(AB15=0.9,VLOOKUP(ER15,$CR$348:$CS$394,2),VLOOKUP(ER15,$CR$301:$CS$344,2)))</f>
        <v>#VALUE!</v>
      </c>
      <c r="EM15" s="63" t="e">
        <f>IF(AB15=0.8,VLOOKUP(ES15,$CT$395:$CU$439,2),IF(AB15=0.9,VLOOKUP(ES15,$CT$348:$CU$394,2),VLOOKUP(ES15,$CT$301:$CU$344,2)))</f>
        <v>#VALUE!</v>
      </c>
      <c r="EO15" s="63" t="e">
        <f>IF(AB15=0.8,VLOOKUP(EU15,$CR$395:$CS$439,2),IF(AB15=0.9,VLOOKUP(EU15,$CR$348:$CS$394,2),VLOOKUP(EU15,$CR$301:$CS$344,2)))</f>
        <v>#VALUE!</v>
      </c>
      <c r="EP15" s="63" t="e">
        <f>IF(AB15=0.8,VLOOKUP(EV15,$CT$395:$CU$439,2),IF(AB15=0.9,VLOOKUP(EV15,$CT$348:$CU$394,2),VLOOKUP(EV15,$CT$301:$CU$344,2)))</f>
        <v>#VALUE!</v>
      </c>
      <c r="EQ15" s="155" t="e">
        <f t="shared" si="11"/>
        <v>#VALUE!</v>
      </c>
      <c r="ER15" s="63" t="e">
        <f>ROUNDUP($CX15*POWER($I14*100,2)/8/DH15,1)</f>
        <v>#VALUE!</v>
      </c>
      <c r="ES15" s="63" t="e">
        <f>ROUNDUP(5*$CX15*POWER($I14*100,4)/(384*VLOOKUP(VALUE(RIGHT($J14,4)),許容応力!$B$6:$K$22,10)*100*$DO15),2)</f>
        <v>#VALUE!</v>
      </c>
      <c r="EU15" s="63" t="e">
        <f>ROUNDUP($CY15*POWER($I14*100,2)/8/$DI15,1)</f>
        <v>#VALUE!</v>
      </c>
      <c r="EV15" s="63" t="e">
        <f>ROUNDUP(5*$CY15*POWER($I14*100,4)/(384*VLOOKUP(VALUE(RIGHT($J14,4)),許容応力!$B$6:$K$22,10)*100*$DU15),2)</f>
        <v>#VALUE!</v>
      </c>
      <c r="EX15" s="63"/>
      <c r="EY15" s="63"/>
      <c r="EZ15" s="63"/>
      <c r="FA15" s="63"/>
      <c r="FB15" s="63"/>
      <c r="FC15" s="57"/>
      <c r="FD15" s="57"/>
      <c r="FE15" s="57"/>
      <c r="FF15" s="57"/>
      <c r="FG15" s="57"/>
      <c r="FH15" s="57"/>
      <c r="FI15" s="57"/>
    </row>
    <row r="16" spans="2:165" ht="15.95" customHeight="1" thickBot="1" x14ac:dyDescent="0.2">
      <c r="B16" s="1161"/>
      <c r="C16" s="1163" t="s">
        <v>814</v>
      </c>
      <c r="D16" s="331"/>
      <c r="E16" s="1357"/>
      <c r="F16" s="1165" t="str">
        <f>IF(E16=0,"",ROUND(SQRT(COS(DR16*1.5*PI()/180)),3))</f>
        <v/>
      </c>
      <c r="G16" s="1516"/>
      <c r="H16" s="1516"/>
      <c r="I16" s="1516"/>
      <c r="J16" s="1521"/>
      <c r="K16" s="1116"/>
      <c r="L16" s="196">
        <f>+IF(K16=0,0,"×")</f>
        <v>0</v>
      </c>
      <c r="M16" s="241">
        <f>IF(K16=0,0,+EQ16)</f>
        <v>0</v>
      </c>
      <c r="N16" s="242" t="str">
        <f t="shared" si="0"/>
        <v/>
      </c>
      <c r="O16" s="1520">
        <f t="shared" ref="O16" si="24">IF(Z16=0,0,IF(AND(U16=0,X16=0),0,IF(IF(AE16&gt;=AH16,AE16,AH16)&lt;=1,"OK!","NO!")))</f>
        <v>0</v>
      </c>
      <c r="P16" s="1478"/>
      <c r="Q16" s="1572"/>
      <c r="R16" s="1572"/>
      <c r="S16" s="1616">
        <f t="shared" ref="S16" si="25">+IF(R16=0,0,6)</f>
        <v>0</v>
      </c>
      <c r="T16" s="1572"/>
      <c r="U16" s="1572"/>
      <c r="V16" s="196" t="str">
        <f>+M$185</f>
        <v/>
      </c>
      <c r="W16" s="1321">
        <f>IF(U16=0,0,+VLOOKUP(V16,$I$204:$J$209,2))</f>
        <v>0</v>
      </c>
      <c r="X16" s="1496"/>
      <c r="Y16" s="1311">
        <f>IF(X16=0,0,+CS16)</f>
        <v>0</v>
      </c>
      <c r="Z16" s="1313">
        <f>IF(AND(R16=0,X16=0),0,+IF(AND(VALUE(RIGHT(P16,4))=2,R16&gt;0),0,IF(AND(VALUE(RIGHT(P16,4))=1,X16&gt;0),0,CM16)))</f>
        <v>0</v>
      </c>
      <c r="AA16" s="1314">
        <f>IF(X16=0,0,IF(EI16&gt;=EJ16,EI16,EJ16))</f>
        <v>0</v>
      </c>
      <c r="AB16" s="1121"/>
      <c r="AC16" s="201" t="str">
        <f t="shared" si="1"/>
        <v/>
      </c>
      <c r="AD16" s="201" t="str">
        <f t="shared" si="2"/>
        <v/>
      </c>
      <c r="AE16" s="1314">
        <f>IF(F16=+"",0,IF(AND(U16=0,X16=0),0,IF(X16=0,ROUND(DB16/(DJ16*$CP$4*W16),2),ROUND(DB16/DJ16,2))))</f>
        <v>0</v>
      </c>
      <c r="AF16" s="201" t="str">
        <f t="shared" si="3"/>
        <v/>
      </c>
      <c r="AG16" s="201" t="str">
        <f t="shared" si="4"/>
        <v/>
      </c>
      <c r="AH16" s="1314">
        <f>IF(F16=+"",0,IF(AND(U16=0,X16=0),0,IF(X16=0,ROUND(DE16/(DK16*$CP$4*W16),2),ROUND(DE16/DK16,2))))</f>
        <v>0</v>
      </c>
      <c r="AI16" s="818"/>
      <c r="AJ16" s="811"/>
      <c r="AK16" s="823"/>
      <c r="AL16" s="812"/>
      <c r="AM16" s="1300">
        <f>IF(AI16=0,0,ROUND(AI16*AJ16+AK16*AL16+AI17*AJ17+AK17*AL17,2))</f>
        <v>0</v>
      </c>
      <c r="AN16" s="1300">
        <f t="shared" ref="AN16" si="26">IF(AJ16=0,0,IF(CO16=1,CN16/($CP$4*W16),CN16))</f>
        <v>0</v>
      </c>
      <c r="AO16" s="1302" t="str">
        <f t="shared" ref="AO16" si="27">IF(AN16=0,"",IF(AN16&lt;=1,"OK!","NO!"))</f>
        <v/>
      </c>
      <c r="AP16" s="182">
        <f>+IF(I16=0,0,"1/")</f>
        <v>0</v>
      </c>
      <c r="AQ16" s="183">
        <f>IF(I16=0,0,+DN16)</f>
        <v>0</v>
      </c>
      <c r="AR16" s="23"/>
      <c r="AS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1313">
        <f>IF(AND(U16=0,X16=0),0,IF(U16&gt;0,M$196/100*$CP$4*W16,ROUND(POWER(X16*Y16,2)/(K16/10*M16/10),2)))</f>
        <v>0</v>
      </c>
      <c r="CN16" s="1304" t="str">
        <f>IF($AJ16=0,"",IF($EC16&gt;=$EE16,$EC16,$EE16))</f>
        <v/>
      </c>
      <c r="CO16" s="552">
        <f>IF(P16=0,0,+VALUE(RIGHT(P16,4)))</f>
        <v>0</v>
      </c>
      <c r="CP16" s="9" t="e">
        <f>ROUNDUP(CX16*I16*100/2/DL16,2)</f>
        <v>#VALUE!</v>
      </c>
      <c r="CQ16" s="9" t="e">
        <f>ROUNDUP(CY16*I16*100/2/DM16,2)</f>
        <v>#VALUE!</v>
      </c>
      <c r="CR16" s="23" t="e">
        <f t="shared" si="5"/>
        <v>#VALUE!</v>
      </c>
      <c r="CS16" s="9">
        <f>IF(M16=0,0,ROUNDUP(SQRT((AA16*K16/10*M16/10)/(X16*X16)),2))</f>
        <v>0</v>
      </c>
      <c r="CT16" s="75"/>
      <c r="CU16" s="63">
        <f t="shared" si="6"/>
        <v>0</v>
      </c>
      <c r="CV16" s="63" t="e">
        <f>ROUNDUP(IF(VALUE(RIGHT($G$3,4))=1,$I$3*30*F16*100,$I$3*20*F16*100),0)</f>
        <v>#VALUE!</v>
      </c>
      <c r="CW16" s="63"/>
      <c r="CX16" s="63">
        <f>ROUNDUP((準備!$G$57/100/DS16+IF(AND(VALUE(RIGHT($G$3,4))=1,$T$3=2),CU16/100*1.2,CU16/100))*(G16+H16)/2,2)</f>
        <v>0</v>
      </c>
      <c r="CY16" s="63" t="e">
        <f>ROUNDUP((準備!$G$57/100/DS16+IF(AND(VALUE(RIGHT($G$3,4))=1,$T$3=2),CV16/100*1.2,CV16/100))*(G16+H16)/2,2)</f>
        <v>#VALUE!</v>
      </c>
      <c r="CZ16" s="63" t="e">
        <f>ROUNDUP(CX16*POWER(I16*100,2)/8/DF16,1)</f>
        <v>#DIV/0!</v>
      </c>
      <c r="DA16" s="63" t="e">
        <f>ROUNDUP(5*$CX16*POWER($I16*100,4)/(384*VLOOKUP(VALUE(RIGHT($J16,4)),許容応力!$B$6:$K$22,10)*100*$DG16),2)</f>
        <v>#VALUE!</v>
      </c>
      <c r="DB16" s="63" t="e">
        <f>ROUND(CX16*I16*100/2/Z16,1)</f>
        <v>#DIV/0!</v>
      </c>
      <c r="DC16" s="63" t="e">
        <f>ROUNDUP(CY16*POWER(I16*100,2)/8/DF16,1)</f>
        <v>#VALUE!</v>
      </c>
      <c r="DD16" s="63" t="e">
        <f>ROUNDUP(5*$CY16*POWER($I16*100,4)/(384*VLOOKUP(VALUE(RIGHT($J16,4)),許容応力!$B$6:$K$22,10)*100*$DG16),2)</f>
        <v>#VALUE!</v>
      </c>
      <c r="DE16" s="63" t="e">
        <f>ROUND(CY16*I16*100/2/Z16,1)</f>
        <v>#VALUE!</v>
      </c>
      <c r="DF16" s="63">
        <f>ROUNDDOWN(K16/10*POWER(M16/10,2)/6*IF(OR(AB16=0,AB16=1),1,AB16),0)</f>
        <v>0</v>
      </c>
      <c r="DG16" s="63">
        <f>ROUNDDOWN(K16/10*POWER(M16/10,3)/12*IF(OR(AB16=0,AB16=1),1,AB16),0)</f>
        <v>0</v>
      </c>
      <c r="DH16" s="10" t="e">
        <f>IF($DN$6=2,ROUND(VLOOKUP(DQ16,許容応力!$B$6:$K$22,7)*1.1/3*100,0),ROUND(VLOOKUP(DQ16,許容応力!$B$6:$K$22,7)*1.1/3*1.3*100,0))</f>
        <v>#VALUE!</v>
      </c>
      <c r="DI16" s="63" t="e">
        <f>ROUND(VLOOKUP(DQ16,許容応力!$B$6:$K$22,7)*100*2/3*0.8,0)</f>
        <v>#VALUE!</v>
      </c>
      <c r="DJ16" s="10" t="e">
        <f>IF($DN$6=2,ROUND(VLOOKUP(DQ16,許容応力!$B$6:$K$22,8)*1.1/3*100,0),ROUND(VLOOKUP(DQ16,許容応力!$B$6:$K$22,8)*1.1/3*1.3*100,0))</f>
        <v>#VALUE!</v>
      </c>
      <c r="DK16" s="63" t="e">
        <f>ROUND(VLOOKUP(DQ16,許容応力!$B$6:$K$22,8)*100*2/3*0.8,0)</f>
        <v>#VALUE!</v>
      </c>
      <c r="DL16" s="10" t="e">
        <f>IF($DN$6=2,ROUND(VLOOKUP(DQ16,許容応力!$B$6:$K$22,9)*1.1/3*100,0),ROUND(VLOOKUP(DQ16,許容応力!$B$6:$K$22,9)*1.1/3*1.3*100,0))</f>
        <v>#VALUE!</v>
      </c>
      <c r="DM16" s="63" t="e">
        <f>ROUND(VLOOKUP(DQ16,許容応力!$B$6:$K$22,9)*100*2/3*0.8,0)</f>
        <v>#VALUE!</v>
      </c>
      <c r="DN16" s="63">
        <f t="shared" si="7"/>
        <v>200</v>
      </c>
      <c r="DO16" s="63">
        <f>ROUND(I16*100/DN16,2)</f>
        <v>0</v>
      </c>
      <c r="DP16" s="63"/>
      <c r="DQ16" s="63" t="e">
        <f>+VALUE(RIGHT(J16,3))</f>
        <v>#VALUE!</v>
      </c>
      <c r="DR16" s="69">
        <f>ROUND(ATAN(E16/10)*180/PI(),4)</f>
        <v>0</v>
      </c>
      <c r="DS16" s="70">
        <f t="shared" si="8"/>
        <v>1</v>
      </c>
      <c r="DT16" s="63">
        <f>VLOOKUP(VALUE(RIGHT(C16,4)),$C$632:$F$641,4)</f>
        <v>200</v>
      </c>
      <c r="DU16" s="63">
        <f>ROUND(I16*100/DT16,2)</f>
        <v>0</v>
      </c>
      <c r="DV16" s="63"/>
      <c r="DW16" s="87"/>
      <c r="DX16" s="87" t="e">
        <f>ROUNDUP((準備!$F$60/100+準備!$E$48/100)*($G16+$H16)/2,2)</f>
        <v>#N/A</v>
      </c>
      <c r="DY16" s="63"/>
      <c r="DZ16" s="63"/>
      <c r="EA16" s="63"/>
      <c r="EB16" s="63" t="e">
        <f>ROUND(CX16*I16*100/2/AM16,1)</f>
        <v>#DIV/0!</v>
      </c>
      <c r="EC16" s="63" t="e">
        <f t="shared" si="9"/>
        <v>#DIV/0!</v>
      </c>
      <c r="ED16" s="63" t="e">
        <f>ROUND(CY16*I16*100/2/AM16,1)</f>
        <v>#VALUE!</v>
      </c>
      <c r="EE16" s="63" t="e">
        <f t="shared" si="10"/>
        <v>#VALUE!</v>
      </c>
      <c r="EF16" s="588"/>
      <c r="EG16" s="588"/>
      <c r="EH16" s="588"/>
      <c r="EI16" s="63" t="str">
        <f>IF(M16=0,"",ROUND(CX16*I16*100/2/DJ16,2))</f>
        <v/>
      </c>
      <c r="EJ16" s="63" t="str">
        <f>IF(M16=0,"",ROUND(CY16*I16*100/2/DK16,2))</f>
        <v/>
      </c>
      <c r="EK16" s="63"/>
      <c r="EL16" s="63" t="e">
        <f>ROUNDUP(ER16/3,-1)*3</f>
        <v>#VALUE!</v>
      </c>
      <c r="EM16" s="63" t="e">
        <f>ROUNDUP(ES16/3,-1)*3</f>
        <v>#VALUE!</v>
      </c>
      <c r="EO16" s="63" t="e">
        <f>ROUNDUP(EU16/3,-1)*3</f>
        <v>#VALUE!</v>
      </c>
      <c r="EP16" s="63" t="e">
        <f>ROUNDUP(EV16/3,-1)*3</f>
        <v>#VALUE!</v>
      </c>
      <c r="EQ16" s="155" t="e">
        <f t="shared" si="11"/>
        <v>#VALUE!</v>
      </c>
      <c r="ER16" s="63" t="e">
        <f>ROUND(SQRT(ROUND(EW16/DH16*6/(K16/10)/IF(AB16=0,1,AB16),1))*10,0)</f>
        <v>#VALUE!</v>
      </c>
      <c r="ES16" s="3" t="e">
        <f>POWER(ROUND(EX16/(K16/10)*12,0)/IF(AB16=0,1,AB16)/DO16,1/3)*10</f>
        <v>#VALUE!</v>
      </c>
      <c r="ET16" s="63"/>
      <c r="EU16" s="63" t="e">
        <f>ROUND(SQRT(ROUND(EZ16/DI16*6/(K16/10)/IF(AB16=0,1,AB16),1))*10,2)</f>
        <v>#VALUE!</v>
      </c>
      <c r="EV16" s="3" t="e">
        <f>POWER(ROUND(FA16/(K16/10)*12,0)/IF(AB16=0,1,AB16)/DU16,1/3)*10</f>
        <v>#VALUE!</v>
      </c>
      <c r="EW16" s="63">
        <f>ROUNDUP(CX16*POWER(I16*100,2)/8,1)</f>
        <v>0</v>
      </c>
      <c r="EX16" s="63" t="e">
        <f>ROUNDUP(5*$CX16*POWER($I16*100,4)/(384*VLOOKUP(VALUE(RIGHT($J16,4)),許容応力!$B$6:$K$22,10)*100),2)</f>
        <v>#VALUE!</v>
      </c>
      <c r="EY16" s="63"/>
      <c r="EZ16" s="63" t="e">
        <f>ROUNDUP(CY16*POWER(I16*100,2)/8,1)</f>
        <v>#VALUE!</v>
      </c>
      <c r="FA16" s="63" t="e">
        <f>ROUNDUP(5*$CY16*POWER($I16*100,4)/(384*VLOOKUP(VALUE(RIGHT($J16,4)),許容応力!$B$6:$K$22,10)*100),2)</f>
        <v>#VALUE!</v>
      </c>
      <c r="FB16" s="63"/>
      <c r="FC16" s="57"/>
      <c r="FD16" s="57"/>
      <c r="FE16" s="57"/>
      <c r="FF16" s="57"/>
      <c r="FG16" s="57"/>
      <c r="FH16" s="57"/>
      <c r="FI16" s="57"/>
    </row>
    <row r="17" spans="2:165" ht="15.95" customHeight="1" thickBot="1" x14ac:dyDescent="0.2">
      <c r="B17" s="1161"/>
      <c r="C17" s="1163"/>
      <c r="D17" s="330"/>
      <c r="E17" s="1357"/>
      <c r="F17" s="1166"/>
      <c r="G17" s="1359"/>
      <c r="H17" s="1359"/>
      <c r="I17" s="1359"/>
      <c r="J17" s="1521"/>
      <c r="K17" s="1193">
        <f>+IF(J16=0,0,"丸太末口 φ")</f>
        <v>0</v>
      </c>
      <c r="L17" s="1194"/>
      <c r="M17" s="239">
        <f>IF(J16=0,0,+EQ17)</f>
        <v>0</v>
      </c>
      <c r="N17" s="240" t="str">
        <f t="shared" si="0"/>
        <v/>
      </c>
      <c r="O17" s="1519"/>
      <c r="P17" s="1478"/>
      <c r="Q17" s="1572"/>
      <c r="R17" s="1572"/>
      <c r="S17" s="1617"/>
      <c r="T17" s="1572"/>
      <c r="U17" s="1572"/>
      <c r="V17" s="1020" t="str">
        <f>+M$184</f>
        <v/>
      </c>
      <c r="W17" s="1321"/>
      <c r="X17" s="1497"/>
      <c r="Y17" s="1312"/>
      <c r="Z17" s="1312"/>
      <c r="AA17" s="1254"/>
      <c r="AB17" s="1120"/>
      <c r="AC17" s="206" t="str">
        <f t="shared" si="1"/>
        <v/>
      </c>
      <c r="AD17" s="206" t="str">
        <f t="shared" si="2"/>
        <v/>
      </c>
      <c r="AE17" s="1254"/>
      <c r="AF17" s="206" t="str">
        <f t="shared" si="3"/>
        <v/>
      </c>
      <c r="AG17" s="206" t="str">
        <f t="shared" si="4"/>
        <v/>
      </c>
      <c r="AH17" s="1470"/>
      <c r="AI17" s="817"/>
      <c r="AJ17" s="809"/>
      <c r="AK17" s="822"/>
      <c r="AL17" s="810"/>
      <c r="AM17" s="1301"/>
      <c r="AN17" s="1301"/>
      <c r="AO17" s="1303"/>
      <c r="AP17" s="184">
        <f>+IF(I16=0,0,"1/")</f>
        <v>0</v>
      </c>
      <c r="AQ17" s="185">
        <f>IF(I16=0,0,+DN17)</f>
        <v>0</v>
      </c>
      <c r="AR17" s="23"/>
      <c r="AS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1312"/>
      <c r="CN17" s="1301"/>
      <c r="CO17" s="548"/>
      <c r="CP17" s="9" t="e">
        <f>ROUNDUP(CX17*I16*100/2/DL17,2)</f>
        <v>#VALUE!</v>
      </c>
      <c r="CQ17" s="9" t="e">
        <f>ROUNDUP(CY17*I16*100/2/DM17,2)</f>
        <v>#VALUE!</v>
      </c>
      <c r="CR17" s="23" t="e">
        <f t="shared" si="5"/>
        <v>#VALUE!</v>
      </c>
      <c r="CS17" s="9">
        <f>IF(M17=0,0,ROUNDUP(SQRT(AA17*(M17/10-6)*(M17/10-3))/(X17*X17),2))</f>
        <v>0</v>
      </c>
      <c r="CT17" s="63"/>
      <c r="CU17" s="63">
        <f t="shared" si="6"/>
        <v>0</v>
      </c>
      <c r="CV17" s="63" t="e">
        <f>ROUNDUP(IF(VALUE(RIGHT($G$3,4))=1,$I$3*30*F16*100,$I$3*20*F16*100),0)</f>
        <v>#VALUE!</v>
      </c>
      <c r="CW17" s="63"/>
      <c r="CX17" s="63">
        <f>ROUNDUP((準備!$G$57/100/DS17+IF(AND(VALUE(RIGHT($G$3,4))=1,$T$3=2),CU17/100*1.2,CU17/100))*(G16+H16)/2,2)</f>
        <v>0</v>
      </c>
      <c r="CY17" s="63" t="e">
        <f>ROUNDUP((準備!$G$57/100/DS17+IF(AND(VALUE(RIGHT($G$3,4))=1,$T$3=2),CV17/100*1.2,CV17/100))*(G16+H16)/2,2)</f>
        <v>#VALUE!</v>
      </c>
      <c r="CZ17" s="63">
        <f>IF($K17=0,0,ROUNDUP($CX17*POWER($I16*100,2)/8/$DF17,1))</f>
        <v>0</v>
      </c>
      <c r="DA17" s="63">
        <f>IF($K17=0,0,ROUNDUP(5*$CX17*POWER($I16*100,4)/(384*VLOOKUP(VALUE(RIGHT($J16,4)),許容応力!$L$6:$U$22,10)*100*$DG17),2))</f>
        <v>0</v>
      </c>
      <c r="DB17" s="63" t="e">
        <f>ROUND((CX17*I16*100/2+EA17)/Z17,1)</f>
        <v>#DIV/0!</v>
      </c>
      <c r="DC17" s="63" t="e">
        <f>ROUNDUP($CY17*POWER($I16*100,2)/8/$DF17,1)</f>
        <v>#VALUE!</v>
      </c>
      <c r="DD17" s="63" t="e">
        <f>ROUNDUP(5*$CY17*POWER($I16*100,4)/(384*VLOOKUP(VALUE(RIGHT($J16,4)),許容応力!$L$6:$U$22,10)*100*$DG17),2)</f>
        <v>#VALUE!</v>
      </c>
      <c r="DE17" s="63" t="e">
        <f>ROUND((CY17*I16*100/2+EA17)/Z17,1)</f>
        <v>#VALUE!</v>
      </c>
      <c r="DF17" s="63">
        <f>IF(M17&lt;180,ROUND((M17/10-3)*POWER(M17/10-3,2)/6*IF(AB17=0,1,AB17),0),ROUND((M17/10-5)*POWER(M17/10-3,2)/6*IF($AB17=0,1,$AB17),0))</f>
        <v>-5</v>
      </c>
      <c r="DG17" s="63">
        <f>ROUND(IF(M17&lt;180,(M17/10-3)*POWER((M17/10-3),3)/12*IF(AB17=0,1,AB17),(M17/10-5))*POWER((M17/10-3),3)/12*IF(AB17=0,1,AB17),0)</f>
        <v>-15</v>
      </c>
      <c r="DH17" s="10" t="e">
        <f>IF($DN$6=2,ROUND(VLOOKUP(DQ17,許容応力!$L$6:$U$22,7)*1.1/3*100,0),ROUND(VLOOKUP(DQ17,許容応力!$L$6:$U$22,7)*1.1/3*1.3*100,0))</f>
        <v>#VALUE!</v>
      </c>
      <c r="DI17" s="63" t="e">
        <f>ROUND(VLOOKUP(DQ17,許容応力!$L$6:$U$22,7)*100*2/3*0.8,0)</f>
        <v>#VALUE!</v>
      </c>
      <c r="DJ17" s="10" t="e">
        <f>IF($DN$6=2,ROUND(VLOOKUP(DQ17,許容応力!$L$6:$U$22,8)*1.1/3*100,0),ROUND(VLOOKUP(DQ17,許容応力!$L$6:$U$22,8)*1.1/3*1.3*100,0))</f>
        <v>#VALUE!</v>
      </c>
      <c r="DK17" s="63" t="e">
        <f>ROUND(VLOOKUP(DQ17,許容応力!$L$6:$U$22,8)*100*2/3*0.8,0)</f>
        <v>#VALUE!</v>
      </c>
      <c r="DL17" s="10" t="e">
        <f>IF($DN$6=2,ROUND(VLOOKUP(DQ17,許容応力!$L$6:$U$22,9)*1.1/3*100,0),ROUND(VLOOKUP(DQ17,許容応力!$L$6:$U$22,9)*1.1/3*1.3*100,0))</f>
        <v>#VALUE!</v>
      </c>
      <c r="DM17" s="63" t="e">
        <f>ROUND(VLOOKUP(DQ17,許容応力!$L$6:$U$22,9)*100*2/3*0.8,0)</f>
        <v>#VALUE!</v>
      </c>
      <c r="DN17" s="63">
        <f t="shared" si="7"/>
        <v>200</v>
      </c>
      <c r="DO17" s="63">
        <f>ROUND(I16*100/DN17,2)</f>
        <v>0</v>
      </c>
      <c r="DP17" s="63"/>
      <c r="DQ17" s="63" t="e">
        <f>+VALUE(RIGHT(J16,3))</f>
        <v>#VALUE!</v>
      </c>
      <c r="DR17" s="69">
        <f>ROUND(ATAN(E16/10)*180/PI(),4)</f>
        <v>0</v>
      </c>
      <c r="DS17" s="70">
        <f t="shared" si="8"/>
        <v>1</v>
      </c>
      <c r="DT17" s="63">
        <f>VLOOKUP(VALUE(RIGHT(C16,4)),$C$632:$F$641,4)</f>
        <v>200</v>
      </c>
      <c r="DU17" s="63">
        <f>ROUND(I16*100/DT17,2)</f>
        <v>0</v>
      </c>
      <c r="DV17" s="63"/>
      <c r="DW17" s="78"/>
      <c r="DX17" s="78" t="e">
        <f>ROUNDUP((準備!$F$60/100+準備!$E$48/100)*($G16+$H16)/2,2)</f>
        <v>#N/A</v>
      </c>
      <c r="DY17" s="71">
        <f>IF(I16&lt;6,POWER(M17/10,2)*I16/10000,POWER((M17/10+(ROUNDDOWN(I16,0)-4)/2),2)*I16/10000)</f>
        <v>0</v>
      </c>
      <c r="DZ17" s="63">
        <v>200</v>
      </c>
      <c r="EA17" s="84">
        <f>ROUND(DY17*DZ17/100,0)</f>
        <v>0</v>
      </c>
      <c r="EB17" s="63" t="e">
        <f>ROUND((CX17*I16*100/2+EA17)/AM17,1)</f>
        <v>#DIV/0!</v>
      </c>
      <c r="EC17" s="63" t="e">
        <f t="shared" si="9"/>
        <v>#DIV/0!</v>
      </c>
      <c r="ED17" s="63" t="e">
        <f>ROUND((CY17*I16*100/2+EA17)/AM17,1)</f>
        <v>#VALUE!</v>
      </c>
      <c r="EE17" s="63" t="e">
        <f t="shared" si="10"/>
        <v>#VALUE!</v>
      </c>
      <c r="EF17" s="63"/>
      <c r="EG17" s="63"/>
      <c r="EH17" s="63"/>
      <c r="EI17" s="63" t="str">
        <f>IF(M17=0,"",ROUND(CX17*I16*100/2/DJ17,2))</f>
        <v/>
      </c>
      <c r="EJ17" s="63" t="str">
        <f>IF(M17=0,"",ROUND(CY17*I16*100/2/DK17,2))</f>
        <v/>
      </c>
      <c r="EK17" s="63"/>
      <c r="EL17" s="63" t="e">
        <f>IF(AB17=0.8,VLOOKUP(ER17,$CR$395:$CS$439,2),IF(AB17=0.9,VLOOKUP(ER17,$CR$348:$CS$394,2),VLOOKUP(ER17,$CR$301:$CS$344,2)))</f>
        <v>#VALUE!</v>
      </c>
      <c r="EM17" s="63" t="e">
        <f>IF(AB17=0.8,VLOOKUP(ES17,$CT$395:$CU$439,2),IF(AB17=0.9,VLOOKUP(ES17,$CT$348:$CU$394,2),VLOOKUP(ES17,$CT$301:$CU$344,2)))</f>
        <v>#VALUE!</v>
      </c>
      <c r="EO17" s="63" t="e">
        <f>IF(AB17=0.8,VLOOKUP(EU17,$CR$395:$CS$439,2),IF(AB17=0.9,VLOOKUP(EU17,$CR$348:$CS$394,2),VLOOKUP(EU17,$CR$301:$CS$344,2)))</f>
        <v>#VALUE!</v>
      </c>
      <c r="EP17" s="63" t="e">
        <f>IF(AB17=0.8,VLOOKUP(EV17,$CT$395:$CU$439,2),IF(AB17=0.9,VLOOKUP(EV17,$CT$348:$CU$394,2),VLOOKUP(EV17,$CT$301:$CU$344,2)))</f>
        <v>#VALUE!</v>
      </c>
      <c r="EQ17" s="155" t="e">
        <f t="shared" si="11"/>
        <v>#VALUE!</v>
      </c>
      <c r="ER17" s="63" t="e">
        <f>ROUNDUP($CX17*POWER($I16*100,2)/8/DH17,1)</f>
        <v>#VALUE!</v>
      </c>
      <c r="ES17" s="63" t="e">
        <f>ROUNDUP(5*$CX17*POWER($I16*100,4)/(384*VLOOKUP(VALUE(RIGHT($J16,4)),許容応力!$B$6:$K$22,10)*100*$DO17),2)</f>
        <v>#VALUE!</v>
      </c>
      <c r="EU17" s="63" t="e">
        <f>ROUNDUP($CY17*POWER($I16*100,2)/8/$DI17,1)</f>
        <v>#VALUE!</v>
      </c>
      <c r="EV17" s="63" t="e">
        <f>ROUNDUP(5*$CY17*POWER($I16*100,4)/(384*VLOOKUP(VALUE(RIGHT($J16,4)),許容応力!$B$6:$K$22,10)*100*$DU17),2)</f>
        <v>#VALUE!</v>
      </c>
      <c r="EX17" s="63"/>
      <c r="EY17" s="63"/>
      <c r="EZ17" s="63"/>
      <c r="FA17" s="63"/>
      <c r="FB17" s="63"/>
      <c r="FC17" s="57"/>
      <c r="FD17" s="57"/>
      <c r="FE17" s="57"/>
      <c r="FF17" s="57"/>
      <c r="FG17" s="57"/>
      <c r="FH17" s="57"/>
      <c r="FI17" s="57"/>
    </row>
    <row r="18" spans="2:165" ht="15.95" customHeight="1" thickBot="1" x14ac:dyDescent="0.2">
      <c r="B18" s="1161"/>
      <c r="C18" s="1163" t="s">
        <v>815</v>
      </c>
      <c r="D18" s="331"/>
      <c r="E18" s="1357"/>
      <c r="F18" s="1165" t="str">
        <f>IF(E18=0,"",ROUND(SQRT(COS(DR18*1.5*PI()/180)),3))</f>
        <v/>
      </c>
      <c r="G18" s="1516"/>
      <c r="H18" s="1516"/>
      <c r="I18" s="1517"/>
      <c r="J18" s="1479"/>
      <c r="K18" s="1116"/>
      <c r="L18" s="196">
        <f>+IF(K18=0,0,"×")</f>
        <v>0</v>
      </c>
      <c r="M18" s="241">
        <f>IF(K18=0,0,+EQ18)</f>
        <v>0</v>
      </c>
      <c r="N18" s="242" t="str">
        <f t="shared" si="0"/>
        <v/>
      </c>
      <c r="O18" s="1520">
        <f t="shared" ref="O18" si="28">IF(Z18=0,0,IF(AND(U18=0,X18=0),0,IF(IF(AE18&gt;=AH18,AE18,AH18)&lt;=1,"OK!","NO!")))</f>
        <v>0</v>
      </c>
      <c r="P18" s="1478"/>
      <c r="Q18" s="1574"/>
      <c r="R18" s="1574"/>
      <c r="S18" s="1618">
        <f t="shared" ref="S18" si="29">+IF(R18=0,0,6)</f>
        <v>0</v>
      </c>
      <c r="T18" s="1574"/>
      <c r="U18" s="1574"/>
      <c r="V18" s="196" t="str">
        <f>+N$185</f>
        <v/>
      </c>
      <c r="W18" s="1224">
        <f>IF(U18=0,0,+VLOOKUP(V18,$I$204:$J$209,2))</f>
        <v>0</v>
      </c>
      <c r="X18" s="1503"/>
      <c r="Y18" s="1490">
        <f>IF(X18=0,0,+CS18)</f>
        <v>0</v>
      </c>
      <c r="Z18" s="1481">
        <f>IF(AND(R18=0,X18=0),0,+IF(AND(VALUE(RIGHT(P18,4))=2,R18&gt;0),0,IF(AND(VALUE(RIGHT(P18,4))=1,X18&gt;0),0,CM18)))</f>
        <v>0</v>
      </c>
      <c r="AA18" s="1471">
        <f>IF(X18=0,0,IF(EI18&gt;=EJ18,EI18,EJ18))</f>
        <v>0</v>
      </c>
      <c r="AB18" s="1121"/>
      <c r="AC18" s="201" t="str">
        <f t="shared" si="1"/>
        <v/>
      </c>
      <c r="AD18" s="201" t="str">
        <f t="shared" si="2"/>
        <v/>
      </c>
      <c r="AE18" s="1471">
        <f>IF(F18=+"",0,IF(AND(U18=0,X18=0),0,IF(X18=0,ROUND(DB18/(DJ18*$CP$4*W18),2),ROUND(DB18/DJ18,2))))</f>
        <v>0</v>
      </c>
      <c r="AF18" s="201" t="str">
        <f t="shared" si="3"/>
        <v/>
      </c>
      <c r="AG18" s="201" t="str">
        <f t="shared" si="4"/>
        <v/>
      </c>
      <c r="AH18" s="1471">
        <f>IF(F18=+"",0,IF(AND(U18=0,X18=0),0,IF(X18=0,ROUND(DE18/(DK18*$CP$4*W18),2),ROUND(DE18/DK18,2))))</f>
        <v>0</v>
      </c>
      <c r="AI18" s="818"/>
      <c r="AJ18" s="811"/>
      <c r="AK18" s="823"/>
      <c r="AL18" s="812"/>
      <c r="AM18" s="1300">
        <f>IF(AI18=0,0,ROUND(AI18*AJ18+AK18*AL18+AI19*AJ19+AK19*AL19,2))</f>
        <v>0</v>
      </c>
      <c r="AN18" s="1300">
        <f t="shared" ref="AN18" si="30">IF(AJ18=0,0,IF(CO18=1,CN18/($CP$4*W18),CN18))</f>
        <v>0</v>
      </c>
      <c r="AO18" s="1302" t="str">
        <f t="shared" ref="AO18" si="31">IF(AN18=0,"",IF(AN18&lt;=1,"OK!","NO!"))</f>
        <v/>
      </c>
      <c r="AP18" s="182">
        <f>+IF(I18=0,0,"1/")</f>
        <v>0</v>
      </c>
      <c r="AQ18" s="183">
        <f>IF(I18=0,0,+DN18)</f>
        <v>0</v>
      </c>
      <c r="AR18" s="23"/>
      <c r="AS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1313">
        <f>IF(AND(U18=0,X18=0),0,IF(U18&gt;0,N$196/100*$CP$4*W18,ROUND(POWER(X18*Y18,2)/(K18/10*M18/10),2)))</f>
        <v>0</v>
      </c>
      <c r="CN18" s="1304" t="str">
        <f>IF($AJ18=0,"",IF($EC18&gt;=$EE18,$EC18,$EE18))</f>
        <v/>
      </c>
      <c r="CO18" s="552">
        <f>IF(P18=0,0,+VALUE(RIGHT(P18,4)))</f>
        <v>0</v>
      </c>
      <c r="CP18" s="9" t="e">
        <f>ROUNDUP(CX18*I18*100/2/DL18,2)</f>
        <v>#VALUE!</v>
      </c>
      <c r="CQ18" s="9" t="e">
        <f>ROUNDUP(CY18*I18*100/2/DM18,2)</f>
        <v>#VALUE!</v>
      </c>
      <c r="CR18" s="23" t="e">
        <f t="shared" si="5"/>
        <v>#VALUE!</v>
      </c>
      <c r="CS18" s="9">
        <f>IF(M18=0,0,ROUNDUP(SQRT((AA18*K18/10*M18/10)/(X18*X18)),2))</f>
        <v>0</v>
      </c>
      <c r="CT18" s="75"/>
      <c r="CU18" s="63">
        <f t="shared" si="6"/>
        <v>0</v>
      </c>
      <c r="CV18" s="63" t="e">
        <f>ROUNDUP(IF(VALUE(RIGHT($G$3,4))=1,$I$3*30*F18*100,$I$3*20*F18*100),0)</f>
        <v>#VALUE!</v>
      </c>
      <c r="CW18" s="63"/>
      <c r="CX18" s="63">
        <f>ROUNDUP((準備!$G$57/100/DS18+IF(AND(VALUE(RIGHT($G$3,4))=1,$T$3=2),CU18/100*1.2,CU18/100))*(G18+H18)/2,2)</f>
        <v>0</v>
      </c>
      <c r="CY18" s="63" t="e">
        <f>ROUNDUP((準備!$G$57/100/DS18+IF(AND(VALUE(RIGHT($G$3,4))=1,$T$3=2),CV18/100*1.2,CV18/100))*(G18+H18)/2,2)</f>
        <v>#VALUE!</v>
      </c>
      <c r="CZ18" s="63" t="e">
        <f>ROUNDUP(CX18*POWER(I18*100,2)/8/DF18,1)</f>
        <v>#DIV/0!</v>
      </c>
      <c r="DA18" s="63" t="e">
        <f>ROUNDUP(5*$CX18*POWER($I18*100,4)/(384*VLOOKUP(VALUE(RIGHT($J18,4)),許容応力!$B$6:$K$22,10)*100*$DG18),2)</f>
        <v>#VALUE!</v>
      </c>
      <c r="DB18" s="63" t="e">
        <f>ROUND(CX18*I18*100/2/Z18,1)</f>
        <v>#DIV/0!</v>
      </c>
      <c r="DC18" s="63" t="e">
        <f>ROUNDUP(CY18*POWER(I18*100,2)/8/DF18,1)</f>
        <v>#VALUE!</v>
      </c>
      <c r="DD18" s="63" t="e">
        <f>ROUNDUP(5*$CY18*POWER($I18*100,4)/(384*VLOOKUP(VALUE(RIGHT($J18,4)),許容応力!$B$6:$K$22,10)*100*$DG18),2)</f>
        <v>#VALUE!</v>
      </c>
      <c r="DE18" s="63" t="e">
        <f>ROUND(CY18*I18*100/2/Z18,1)</f>
        <v>#VALUE!</v>
      </c>
      <c r="DF18" s="63">
        <f>ROUNDDOWN(K18/10*POWER(M18/10,2)/6*IF(OR(AB18=0,AB18=1),1,AB18),0)</f>
        <v>0</v>
      </c>
      <c r="DG18" s="63">
        <f>ROUNDDOWN(K18/10*POWER(M18/10,3)/12*IF(OR(AB18=0,AB18=1),1,AB18),0)</f>
        <v>0</v>
      </c>
      <c r="DH18" s="10" t="e">
        <f>IF($DN$6=2,ROUND(VLOOKUP(DQ18,許容応力!$B$6:$K$22,7)*1.1/3*100,0),ROUND(VLOOKUP(DQ18,許容応力!$B$6:$K$22,7)*1.1/3*1.3*100,0))</f>
        <v>#VALUE!</v>
      </c>
      <c r="DI18" s="63" t="e">
        <f>ROUND(VLOOKUP(DQ18,許容応力!$B$6:$K$22,7)*100*2/3*0.8,0)</f>
        <v>#VALUE!</v>
      </c>
      <c r="DJ18" s="10" t="e">
        <f>IF($DN$6=2,ROUND(VLOOKUP(DQ18,許容応力!$B$6:$K$22,8)*1.1/3*100,0),ROUND(VLOOKUP(DQ18,許容応力!$B$6:$K$22,8)*1.1/3*1.3*100,0))</f>
        <v>#VALUE!</v>
      </c>
      <c r="DK18" s="63" t="e">
        <f>ROUND(VLOOKUP(DQ18,許容応力!$B$6:$K$22,8)*100*2/3*0.8,0)</f>
        <v>#VALUE!</v>
      </c>
      <c r="DL18" s="10" t="e">
        <f>IF($DN$6=2,ROUND(VLOOKUP(DQ18,許容応力!$B$6:$K$22,9)*1.1/3*100,0),ROUND(VLOOKUP(DQ18,許容応力!$B$6:$K$22,9)*1.1/3*1.3*100,0))</f>
        <v>#VALUE!</v>
      </c>
      <c r="DM18" s="63" t="e">
        <f>ROUND(VLOOKUP(DQ18,許容応力!$B$6:$K$22,9)*100*2/3*0.8,0)</f>
        <v>#VALUE!</v>
      </c>
      <c r="DN18" s="63">
        <f t="shared" si="7"/>
        <v>200</v>
      </c>
      <c r="DO18" s="63">
        <f>ROUND(I18*100/DN18,2)</f>
        <v>0</v>
      </c>
      <c r="DP18" s="63"/>
      <c r="DQ18" s="63" t="e">
        <f>+VALUE(RIGHT(J18,3))</f>
        <v>#VALUE!</v>
      </c>
      <c r="DR18" s="69">
        <f>ROUND(ATAN(E18/10)*180/PI(),4)</f>
        <v>0</v>
      </c>
      <c r="DS18" s="70">
        <f t="shared" si="8"/>
        <v>1</v>
      </c>
      <c r="DT18" s="63">
        <f>VLOOKUP(VALUE(RIGHT(C18,4)),$C$632:$F$641,4)</f>
        <v>200</v>
      </c>
      <c r="DU18" s="63">
        <f>ROUND(I18*100/DT18,2)</f>
        <v>0</v>
      </c>
      <c r="DV18" s="63"/>
      <c r="DW18" s="87"/>
      <c r="DX18" s="87" t="e">
        <f>ROUNDUP((準備!$F$60/100+準備!$E$48/100)*($G18+$H18)/2,2)</f>
        <v>#N/A</v>
      </c>
      <c r="DY18" s="63"/>
      <c r="DZ18" s="63"/>
      <c r="EA18" s="63"/>
      <c r="EB18" s="63" t="e">
        <f>ROUND(CX18*I18*100/2/AM18,1)</f>
        <v>#DIV/0!</v>
      </c>
      <c r="EC18" s="63" t="e">
        <f t="shared" si="9"/>
        <v>#DIV/0!</v>
      </c>
      <c r="ED18" s="63" t="e">
        <f>ROUND(CY18*I18*100/2/AM18,1)</f>
        <v>#VALUE!</v>
      </c>
      <c r="EE18" s="63" t="e">
        <f t="shared" si="10"/>
        <v>#VALUE!</v>
      </c>
      <c r="EF18" s="588"/>
      <c r="EG18" s="588"/>
      <c r="EH18" s="588"/>
      <c r="EI18" s="63" t="str">
        <f>IF(M18=0,"",ROUND(CX18*I18*100/2/DJ18,2))</f>
        <v/>
      </c>
      <c r="EJ18" s="63" t="str">
        <f>IF(M18=0,"",ROUND(CY18*I18*100/2/DK18,2))</f>
        <v/>
      </c>
      <c r="EK18" s="63"/>
      <c r="EL18" s="63" t="e">
        <f>ROUNDUP(ER18/3,-1)*3</f>
        <v>#VALUE!</v>
      </c>
      <c r="EM18" s="63" t="e">
        <f>ROUNDUP(ES18/3,-1)*3</f>
        <v>#VALUE!</v>
      </c>
      <c r="EO18" s="63" t="e">
        <f>ROUNDUP(EU18/3,-1)*3</f>
        <v>#VALUE!</v>
      </c>
      <c r="EP18" s="63" t="e">
        <f>ROUNDUP(EV18/3,-1)*3</f>
        <v>#VALUE!</v>
      </c>
      <c r="EQ18" s="155" t="e">
        <f t="shared" si="11"/>
        <v>#VALUE!</v>
      </c>
      <c r="ER18" s="63" t="e">
        <f>ROUND(SQRT(ROUND(EW18/DH18*6/(K18/10)/IF(AB18=0,1,AB18),1))*10,0)</f>
        <v>#VALUE!</v>
      </c>
      <c r="ES18" s="3" t="e">
        <f>POWER(ROUND(EX18/(K18/10)*12,0)/IF(AB18=0,1,AB18)/DO18,1/3)*10</f>
        <v>#VALUE!</v>
      </c>
      <c r="ET18" s="63"/>
      <c r="EU18" s="63" t="e">
        <f>ROUND(SQRT(ROUND(EZ18/DI18*6/(K18/10)/IF(AB18=0,1,AB18),1))*10,2)</f>
        <v>#VALUE!</v>
      </c>
      <c r="EV18" s="3" t="e">
        <f>POWER(ROUND(FA18/(K18/10)*12,0)/IF(AB18=0,1,AB18)/DU18,1/3)*10</f>
        <v>#VALUE!</v>
      </c>
      <c r="EW18" s="63">
        <f>ROUNDUP(CX18*POWER(I18*100,2)/8,1)</f>
        <v>0</v>
      </c>
      <c r="EX18" s="63" t="e">
        <f>ROUNDUP(5*$CX18*POWER($I18*100,4)/(384*VLOOKUP(VALUE(RIGHT($J18,4)),許容応力!$B$6:$K$22,10)*100),2)</f>
        <v>#VALUE!</v>
      </c>
      <c r="EY18" s="63"/>
      <c r="EZ18" s="63" t="e">
        <f>ROUNDUP(CY18*POWER(I18*100,2)/8,1)</f>
        <v>#VALUE!</v>
      </c>
      <c r="FA18" s="63" t="e">
        <f>ROUNDUP(5*$CY18*POWER($I18*100,4)/(384*VLOOKUP(VALUE(RIGHT($J18,4)),許容応力!$B$6:$K$22,10)*100),2)</f>
        <v>#VALUE!</v>
      </c>
      <c r="FB18" s="63"/>
      <c r="FC18" s="57"/>
      <c r="FD18" s="57"/>
      <c r="FE18" s="57"/>
      <c r="FF18" s="57"/>
      <c r="FG18" s="57"/>
      <c r="FH18" s="57"/>
      <c r="FI18" s="57"/>
    </row>
    <row r="19" spans="2:165" ht="15.95" customHeight="1" thickBot="1" x14ac:dyDescent="0.2">
      <c r="B19" s="1161"/>
      <c r="C19" s="1167"/>
      <c r="D19" s="332"/>
      <c r="E19" s="1574"/>
      <c r="F19" s="1224"/>
      <c r="G19" s="1359"/>
      <c r="H19" s="1359"/>
      <c r="I19" s="1360"/>
      <c r="J19" s="1569"/>
      <c r="K19" s="1201">
        <f>+IF(J18=0,0,"丸太末口 φ")</f>
        <v>0</v>
      </c>
      <c r="L19" s="1202"/>
      <c r="M19" s="243">
        <f>IF(J18=0,0,+EQ19)</f>
        <v>0</v>
      </c>
      <c r="N19" s="244" t="str">
        <f t="shared" si="0"/>
        <v/>
      </c>
      <c r="O19" s="1570"/>
      <c r="P19" s="1479"/>
      <c r="Q19" s="1573"/>
      <c r="R19" s="1573"/>
      <c r="S19" s="1619"/>
      <c r="T19" s="1573"/>
      <c r="U19" s="1573"/>
      <c r="V19" s="1020" t="str">
        <f>+N$184</f>
        <v/>
      </c>
      <c r="W19" s="1622"/>
      <c r="X19" s="1504"/>
      <c r="Y19" s="1482"/>
      <c r="Z19" s="1482"/>
      <c r="AA19" s="1492"/>
      <c r="AB19" s="1122"/>
      <c r="AC19" s="208" t="str">
        <f t="shared" si="1"/>
        <v/>
      </c>
      <c r="AD19" s="208" t="str">
        <f t="shared" si="2"/>
        <v/>
      </c>
      <c r="AE19" s="1492"/>
      <c r="AF19" s="208" t="str">
        <f t="shared" si="3"/>
        <v/>
      </c>
      <c r="AG19" s="208" t="str">
        <f t="shared" si="4"/>
        <v/>
      </c>
      <c r="AH19" s="1472"/>
      <c r="AI19" s="819"/>
      <c r="AJ19" s="813"/>
      <c r="AK19" s="824"/>
      <c r="AL19" s="814"/>
      <c r="AM19" s="1301"/>
      <c r="AN19" s="1634"/>
      <c r="AO19" s="1372"/>
      <c r="AP19" s="189">
        <f>+IF(I18=0,0,"1/")</f>
        <v>0</v>
      </c>
      <c r="AQ19" s="193">
        <f>IF(I18=0,0,+DN19)</f>
        <v>0</v>
      </c>
      <c r="AR19" s="23"/>
      <c r="AS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1312"/>
      <c r="CN19" s="1301"/>
      <c r="CO19" s="548"/>
      <c r="CP19" s="9" t="e">
        <f>ROUNDUP(CX19*I18*100/2/DL19,2)</f>
        <v>#VALUE!</v>
      </c>
      <c r="CQ19" s="9" t="e">
        <f>ROUNDUP(CY19*I18*100/2/DM19,2)</f>
        <v>#VALUE!</v>
      </c>
      <c r="CR19" s="23" t="e">
        <f t="shared" si="5"/>
        <v>#VALUE!</v>
      </c>
      <c r="CS19" s="9">
        <f>IF(M19=0,0,ROUNDUP(SQRT(AA19*(M19/10-6)*(M19/10-3))/(X19*X19),2))</f>
        <v>0</v>
      </c>
      <c r="CT19" s="63"/>
      <c r="CU19" s="63">
        <f t="shared" si="6"/>
        <v>0</v>
      </c>
      <c r="CV19" s="63" t="e">
        <f>ROUNDUP(IF(VALUE(RIGHT($G$3,4))=1,$I$3*30*F18*100,$I$3*20*F18*100),0)</f>
        <v>#VALUE!</v>
      </c>
      <c r="CW19" s="63"/>
      <c r="CX19" s="63">
        <f>ROUNDUP((準備!$G$57/100/DS19+IF(AND(VALUE(RIGHT($G$3,4))=1,$T$3=2),CU19/100*1.2,CU19/100))*(G18+H18)/2,2)</f>
        <v>0</v>
      </c>
      <c r="CY19" s="63" t="e">
        <f>ROUNDUP((準備!$G$57/100/DS19+IF(AND(VALUE(RIGHT($G$3,4))=1,$T$3=2),CV19/100*1.2,CV19/100))*(G18+H18)/2,2)</f>
        <v>#VALUE!</v>
      </c>
      <c r="CZ19" s="63">
        <f>IF($K19=0,0,ROUNDUP($CX19*POWER($I18*100,2)/8/$DF19,1))</f>
        <v>0</v>
      </c>
      <c r="DA19" s="63">
        <f>IF($K19=0,0,ROUNDUP(5*$CX19*POWER($I18*100,4)/(384*VLOOKUP(VALUE(RIGHT($J18,4)),許容応力!$L$6:$U$22,10)*100*$DG19),2))</f>
        <v>0</v>
      </c>
      <c r="DB19" s="63" t="e">
        <f>ROUND((CX19*I18*100/2+EA19)/Z19,1)</f>
        <v>#DIV/0!</v>
      </c>
      <c r="DC19" s="63" t="e">
        <f>ROUNDUP($CY19*POWER($I18*100,2)/8/$DF19,1)</f>
        <v>#VALUE!</v>
      </c>
      <c r="DD19" s="63" t="e">
        <f>ROUNDUP(5*$CY19*POWER($I18*100,4)/(384*VLOOKUP(VALUE(RIGHT($J18,4)),許容応力!$L$6:$U$22,10)*100*$DG19),2)</f>
        <v>#VALUE!</v>
      </c>
      <c r="DE19" s="63" t="e">
        <f>ROUND((CY19*I18*100/2+EA19)/Z19,1)</f>
        <v>#VALUE!</v>
      </c>
      <c r="DF19" s="63">
        <f>IF(M19&lt;180,ROUND((M19/10-3)*POWER(M19/10-3,2)/6*IF(AB19=0,1,AB19),0),ROUND((M19/10-5)*POWER(M19/10-3,2)/6*IF($AB19=0,1,$AB19),0))</f>
        <v>-5</v>
      </c>
      <c r="DG19" s="63">
        <f>ROUND(IF(M19&lt;180,(M19/10-3)*POWER((M19/10-3),3)/12*IF(AB19=0,1,AB19),(M19/10-5))*POWER((M19/10-3),3)/12*IF(AB19=0,1,AB19),0)</f>
        <v>-15</v>
      </c>
      <c r="DH19" s="10" t="e">
        <f>IF($DN$6=2,ROUND(VLOOKUP(DQ19,許容応力!$L$6:$U$22,7)*1.1/3*100,0),ROUND(VLOOKUP(DQ19,許容応力!$L$6:$U$22,7)*1.1/3*1.3*100,0))</f>
        <v>#VALUE!</v>
      </c>
      <c r="DI19" s="63" t="e">
        <f>ROUND(VLOOKUP(DQ19,許容応力!$L$6:$U$22,7)*100*2/3*0.8,0)</f>
        <v>#VALUE!</v>
      </c>
      <c r="DJ19" s="10" t="e">
        <f>IF($DN$6=2,ROUND(VLOOKUP(DQ19,許容応力!$L$6:$U$22,8)*1.1/3*100,0),ROUND(VLOOKUP(DQ19,許容応力!$L$6:$U$22,8)*1.1/3*1.3*100,0))</f>
        <v>#VALUE!</v>
      </c>
      <c r="DK19" s="63" t="e">
        <f>ROUND(VLOOKUP(DQ19,許容応力!$L$6:$U$22,8)*100*2/3*0.8,0)</f>
        <v>#VALUE!</v>
      </c>
      <c r="DL19" s="10" t="e">
        <f>IF($DN$6=2,ROUND(VLOOKUP(DQ19,許容応力!$L$6:$U$22,9)*1.1/3*100,0),ROUND(VLOOKUP(DQ19,許容応力!$L$6:$U$22,9)*1.1/3*1.3*100,0))</f>
        <v>#VALUE!</v>
      </c>
      <c r="DM19" s="63" t="e">
        <f>ROUND(VLOOKUP(DQ19,許容応力!$L$6:$U$22,9)*100*2/3*0.8,0)</f>
        <v>#VALUE!</v>
      </c>
      <c r="DN19" s="63">
        <f t="shared" si="7"/>
        <v>200</v>
      </c>
      <c r="DO19" s="63">
        <f>ROUND(I18*100/DN19,2)</f>
        <v>0</v>
      </c>
      <c r="DP19" s="63"/>
      <c r="DQ19" s="63" t="e">
        <f>+VALUE(RIGHT(J18,3))</f>
        <v>#VALUE!</v>
      </c>
      <c r="DR19" s="69">
        <f>ROUND(ATAN(E18/10)*180/PI(),4)</f>
        <v>0</v>
      </c>
      <c r="DS19" s="70">
        <f t="shared" si="8"/>
        <v>1</v>
      </c>
      <c r="DT19" s="63">
        <f>VLOOKUP(VALUE(RIGHT(C18,4)),$C$632:$F$641,4)</f>
        <v>200</v>
      </c>
      <c r="DU19" s="63">
        <f>ROUND(I18*100/DT19,2)</f>
        <v>0</v>
      </c>
      <c r="DV19" s="63"/>
      <c r="DW19" s="78"/>
      <c r="DX19" s="78" t="e">
        <f>ROUNDUP((準備!$F$60/100+準備!$E$48/100)*($G18+$H18)/2,2)</f>
        <v>#N/A</v>
      </c>
      <c r="DY19" s="71">
        <f>IF(I18&lt;6,POWER(M19/10,2)*I18/10000,POWER((M19/10+(ROUNDDOWN(I18,0)-4)/2),2)*I18/10000)</f>
        <v>0</v>
      </c>
      <c r="DZ19" s="63">
        <v>200</v>
      </c>
      <c r="EA19" s="84">
        <f>ROUND(DY19*DZ19/100,0)</f>
        <v>0</v>
      </c>
      <c r="EB19" s="63" t="e">
        <f>ROUND((CX19*I18*100/2+EA19)/AM19,1)</f>
        <v>#DIV/0!</v>
      </c>
      <c r="EC19" s="63" t="e">
        <f t="shared" si="9"/>
        <v>#DIV/0!</v>
      </c>
      <c r="ED19" s="63" t="e">
        <f>ROUND((CY19*I18*100/2+EA19)/AM19,1)</f>
        <v>#VALUE!</v>
      </c>
      <c r="EE19" s="63" t="e">
        <f t="shared" si="10"/>
        <v>#VALUE!</v>
      </c>
      <c r="EF19" s="63"/>
      <c r="EG19" s="63"/>
      <c r="EH19" s="63"/>
      <c r="EI19" s="63" t="str">
        <f>IF(M19=0,"",ROUND(CX19*I18*100/2/DJ19,2))</f>
        <v/>
      </c>
      <c r="EJ19" s="63" t="str">
        <f>IF(M19=0,"",ROUND(CY19*I18*100/2/DK19,2))</f>
        <v/>
      </c>
      <c r="EK19" s="63"/>
      <c r="EL19" s="63" t="e">
        <f>IF(AB19=0.8,VLOOKUP(ER19,$CR$395:$CS$439,2),IF(AB19=0.9,VLOOKUP(ER19,$CR$348:$CS$394,2),VLOOKUP(ER19,$CR$301:$CS$344,2)))</f>
        <v>#VALUE!</v>
      </c>
      <c r="EM19" s="63" t="e">
        <f>IF(AB19=0.8,VLOOKUP(ES19,$CT$395:$CU$439,2),IF(AB19=0.9,VLOOKUP(ES19,$CT$348:$CU$394,2),VLOOKUP(ES19,$CT$301:$CU$344,2)))</f>
        <v>#VALUE!</v>
      </c>
      <c r="EO19" s="63" t="e">
        <f>IF(AB19=0.8,VLOOKUP(EU19,$CR$395:$CS$439,2),IF(AB19=0.9,VLOOKUP(EU19,$CR$348:$CS$394,2),VLOOKUP(EU19,$CR$301:$CS$344,2)))</f>
        <v>#VALUE!</v>
      </c>
      <c r="EP19" s="63" t="e">
        <f>IF(AB19=0.8,VLOOKUP(EV19,$CT$395:$CU$439,2),IF(AB19=0.9,VLOOKUP(EV19,$CT$348:$CU$394,2),VLOOKUP(EV19,$CT$301:$CU$344,2)))</f>
        <v>#VALUE!</v>
      </c>
      <c r="EQ19" s="155" t="e">
        <f t="shared" si="11"/>
        <v>#VALUE!</v>
      </c>
      <c r="ER19" s="63" t="e">
        <f>ROUNDUP($CX19*POWER($I18*100,2)/8/DH19,1)</f>
        <v>#VALUE!</v>
      </c>
      <c r="ES19" s="63" t="e">
        <f>ROUNDUP(5*$CX19*POWER($I18*100,4)/(384*VLOOKUP(VALUE(RIGHT($J18,4)),許容応力!$B$6:$K$22,10)*100*$DO19),2)</f>
        <v>#VALUE!</v>
      </c>
      <c r="EU19" s="63" t="e">
        <f>ROUNDUP($CY19*POWER($I18*100,2)/8/$DI19,1)</f>
        <v>#VALUE!</v>
      </c>
      <c r="EV19" s="63" t="e">
        <f>ROUNDUP(5*$CY19*POWER($I18*100,4)/(384*VLOOKUP(VALUE(RIGHT($J18,4)),許容応力!$B$6:$K$22,10)*100*$DU19),2)</f>
        <v>#VALUE!</v>
      </c>
      <c r="EX19" s="63"/>
      <c r="EY19" s="63"/>
      <c r="EZ19" s="63"/>
      <c r="FA19" s="63"/>
      <c r="FB19" s="63"/>
      <c r="FC19" s="57"/>
      <c r="FD19" s="57"/>
      <c r="FE19" s="57"/>
      <c r="FF19" s="57"/>
      <c r="FG19" s="57"/>
      <c r="FH19" s="57"/>
      <c r="FI19" s="57"/>
    </row>
    <row r="20" spans="2:165" ht="15.95" customHeight="1" thickBot="1" x14ac:dyDescent="0.2">
      <c r="B20" s="1585" t="s">
        <v>816</v>
      </c>
      <c r="C20" s="1162" t="s">
        <v>810</v>
      </c>
      <c r="D20" s="329"/>
      <c r="E20" s="1356"/>
      <c r="F20" s="1169" t="str">
        <f>IF(E20=0,"",ROUND(SQRT(COS(DR20*1.5*PI()/180)),3))</f>
        <v/>
      </c>
      <c r="G20" s="1358"/>
      <c r="H20" s="1358"/>
      <c r="I20" s="1360"/>
      <c r="J20" s="1569"/>
      <c r="K20" s="1116"/>
      <c r="L20" s="197">
        <f>+IF(K20=0,0,"×")</f>
        <v>0</v>
      </c>
      <c r="M20" s="245">
        <f>IF(K20=0,0,+EQ20)</f>
        <v>0</v>
      </c>
      <c r="N20" s="246" t="str">
        <f t="shared" si="0"/>
        <v/>
      </c>
      <c r="O20" s="1518">
        <f t="shared" ref="O20" si="32">IF(Z20=0,0,IF(AND(U20=0,X20=0),0,IF(IF(AE20&gt;=AH20,AE20,AH20)&lt;=1,"OK!","NO!")))</f>
        <v>0</v>
      </c>
      <c r="P20" s="1575"/>
      <c r="Q20" s="1573"/>
      <c r="R20" s="1573"/>
      <c r="S20" s="1619">
        <f t="shared" ref="S20" si="33">+IF(R20=0,0,6)</f>
        <v>0</v>
      </c>
      <c r="T20" s="1573"/>
      <c r="U20" s="1573"/>
      <c r="V20" s="197" t="str">
        <f>+O$185</f>
        <v/>
      </c>
      <c r="W20" s="1622">
        <f>IF(U20=0,0,+VLOOKUP(V20,$I$204:$J$209,2))</f>
        <v>0</v>
      </c>
      <c r="X20" s="1504"/>
      <c r="Y20" s="1495">
        <f>IF(X20=0,0,+CS20)</f>
        <v>0</v>
      </c>
      <c r="Z20" s="1483">
        <f>IF(AND(R20=0,X20=0),0,+IF(AND(VALUE(RIGHT(P20,4))=2,R20&gt;0),0,IF(AND(VALUE(RIGHT(P20,4))=1,X20&gt;0),0,CM20)))</f>
        <v>0</v>
      </c>
      <c r="AA20" s="1472">
        <f>IF(X20=0,0,IF(EI20&gt;=EJ20,EI20,EJ20))</f>
        <v>0</v>
      </c>
      <c r="AB20" s="1123"/>
      <c r="AC20" s="203" t="str">
        <f t="shared" si="1"/>
        <v/>
      </c>
      <c r="AD20" s="203" t="str">
        <f t="shared" si="2"/>
        <v/>
      </c>
      <c r="AE20" s="1472">
        <f>IF(F20=+"",0,IF(AND(U20=0,X20=0),0,IF(X20=0,ROUND(DB20/(DJ20*$CP$4*W20),2),ROUND(DB20/DJ20,2))))</f>
        <v>0</v>
      </c>
      <c r="AF20" s="203" t="str">
        <f t="shared" si="3"/>
        <v/>
      </c>
      <c r="AG20" s="203" t="str">
        <f t="shared" si="4"/>
        <v/>
      </c>
      <c r="AH20" s="1472">
        <f>IF(F20=+"",0,IF(AND(U20=0,X20=0),0,IF(X20=0,ROUND(DE20/(DK20*$CP$4*W20),2),ROUND(DE20/DK20,2))))</f>
        <v>0</v>
      </c>
      <c r="AI20" s="820"/>
      <c r="AJ20" s="815"/>
      <c r="AK20" s="821"/>
      <c r="AL20" s="808"/>
      <c r="AM20" s="1304">
        <f>IF(AI20=0,0,ROUND(AI20*AJ20+AK20*AL20+AI21*AJ21+AK21*AL21,2))</f>
        <v>0</v>
      </c>
      <c r="AN20" s="1304">
        <f t="shared" ref="AN20" si="34">IF(AJ20=0,0,IF(CO20=1,CN20/($CP$4*W20),CN20))</f>
        <v>0</v>
      </c>
      <c r="AO20" s="1317" t="str">
        <f t="shared" ref="AO20" si="35">IF(AN20=0,"",IF(AN20&lt;=1,"OK!","NO!"))</f>
        <v/>
      </c>
      <c r="AP20" s="191">
        <f>+IF(I20=0,0,"1/")</f>
        <v>0</v>
      </c>
      <c r="AQ20" s="192">
        <f>IF(I20=0,0,+DN20)</f>
        <v>0</v>
      </c>
      <c r="AR20" s="23"/>
      <c r="AS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1313">
        <f>IF(AND(U20=0,X20=0),0,IF(U20&gt;0,O$196/100*$CP$4*W20,ROUND(POWER(X20*Y20,2)/(K20/10*M20/10),2)))</f>
        <v>0</v>
      </c>
      <c r="CN20" s="1304" t="str">
        <f>IF($AJ20=0,"",IF($EC20&gt;=$EE20,$EC20,$EE20))</f>
        <v/>
      </c>
      <c r="CO20" s="552">
        <f>IF(P20=0,0,+VALUE(RIGHT(P20,4)))</f>
        <v>0</v>
      </c>
      <c r="CP20" s="91" t="e">
        <f>ROUNDUP(CX20*I20/DS20*100/2/DL20,2)</f>
        <v>#VALUE!</v>
      </c>
      <c r="CQ20" s="91" t="e">
        <f>ROUNDUP(CY20*I20/DS20*100/2/DM20,2)</f>
        <v>#VALUE!</v>
      </c>
      <c r="CR20" s="91" t="e">
        <f t="shared" si="5"/>
        <v>#VALUE!</v>
      </c>
      <c r="CS20" s="9">
        <f>IF(M20=0,0,ROUNDUP(SQRT((AA20*K20/10*M20/10)/(X20*X20)),2))</f>
        <v>0</v>
      </c>
      <c r="CT20" s="87"/>
      <c r="CU20" s="87">
        <f t="shared" si="6"/>
        <v>0</v>
      </c>
      <c r="CV20" s="87" t="e">
        <f>ROUNDUP(IF(VALUE(RIGHT($G$3,4))=1,$I$3*30*F20*100,$I$3*20*F20*100),0)</f>
        <v>#VALUE!</v>
      </c>
      <c r="CW20" s="87"/>
      <c r="CX20" s="87">
        <f>ROUNDUP((準備!$G$57/100/DS20+IF(AND(VALUE(RIGHT($G$3,4))=1,$T$3=2),CU20/100*1.2,CU20/100))*(G20+H20)/2,2)</f>
        <v>0</v>
      </c>
      <c r="CY20" s="87" t="e">
        <f>ROUNDUP((準備!$G$57/100/DS20+IF(AND(VALUE(RIGHT($G$3,4))=1,$T$3=2),CV20/100*1.2,CV20/100))*(G20+H20)/2,2)</f>
        <v>#VALUE!</v>
      </c>
      <c r="CZ20" s="87" t="e">
        <f>ROUNDUP($CX20*POWER($DV20,2)/8/$DF20,1)</f>
        <v>#DIV/0!</v>
      </c>
      <c r="DA20" s="87" t="e">
        <f>ROUNDUP(5*$CX20*POWER($I20/$DS20*100,4)/(384*VLOOKUP(VALUE(RIGHT($J20,4)),許容応力!$B$6:$K$22,10)*100*$DG20),2)</f>
        <v>#VALUE!</v>
      </c>
      <c r="DB20" s="87" t="e">
        <f>ROUND(CX20*I20/DS20*100/2/Z20,1)</f>
        <v>#DIV/0!</v>
      </c>
      <c r="DC20" s="87" t="e">
        <f>ROUNDUP($CY20*POWER($I20/$DS20*100,2)/8/$DF20,1)</f>
        <v>#VALUE!</v>
      </c>
      <c r="DD20" s="87" t="e">
        <f>ROUNDUP(5*$CY20*POWER($I20/$DS20*100,4)/(384*VLOOKUP(VALUE(RIGHT($J20,4)),許容応力!$B$6:$K$22,10)*100*$DG20),2)</f>
        <v>#VALUE!</v>
      </c>
      <c r="DE20" s="87" t="e">
        <f>ROUND(CY20*I20/DS20*100/2/Z20,1)</f>
        <v>#VALUE!</v>
      </c>
      <c r="DF20" s="87">
        <f>ROUNDDOWN($K20/10*POWER($M20/10,2)/6*IF(OR($AB20=0,$AB20=1),1,$AB20),0)</f>
        <v>0</v>
      </c>
      <c r="DG20" s="87">
        <f>ROUNDDOWN($K20/10*POWER($M20/10,3)/12*IF(OR($AB20=0,$AB20=1),1,$AB20),0)</f>
        <v>0</v>
      </c>
      <c r="DH20" s="10" t="e">
        <f>IF($DN$6=2,ROUND(VLOOKUP(DQ20,許容応力!$B$6:$K$22,7)*1.1/3*100,0),ROUND(VLOOKUP(DQ20,許容応力!$B$6:$K$22,7)*1.1/3*1.3*100,0))</f>
        <v>#VALUE!</v>
      </c>
      <c r="DI20" s="87" t="e">
        <f>ROUND(VLOOKUP(DQ20,許容応力!$B$6:$K$22,7)*100*2/3*0.8,0)</f>
        <v>#VALUE!</v>
      </c>
      <c r="DJ20" s="10" t="e">
        <f>IF($DN$6=2,ROUND(VLOOKUP(DQ20,許容応力!$B$6:$K$22,8)*1.1/3*100,0),ROUND(VLOOKUP(DQ20,許容応力!$B$6:$K$22,8)*1.1/3*1.3*100,0))</f>
        <v>#VALUE!</v>
      </c>
      <c r="DK20" s="87" t="e">
        <f>ROUND(VLOOKUP(DQ20,許容応力!$B$6:$K$22,8)*100*2/3*0.8,0)</f>
        <v>#VALUE!</v>
      </c>
      <c r="DL20" s="10" t="e">
        <f>IF($DN$6=2,ROUND(VLOOKUP(DQ20,許容応力!$B$6:$K$22,9)*1.1/3*100,0),ROUND(VLOOKUP(DQ20,許容応力!$B$6:$K$22,9)*1.1/3*1.3*100,0))</f>
        <v>#VALUE!</v>
      </c>
      <c r="DM20" s="87" t="e">
        <f>ROUND(VLOOKUP(DQ20,許容応力!$B$6:$K$22,9)*100*2/3*0.8,0)</f>
        <v>#VALUE!</v>
      </c>
      <c r="DN20" s="87">
        <f t="shared" si="7"/>
        <v>200</v>
      </c>
      <c r="DO20" s="87">
        <f>ROUND(I20/DS20*100/DN20,2)</f>
        <v>0</v>
      </c>
      <c r="DP20" s="87"/>
      <c r="DQ20" s="87" t="e">
        <f>+VALUE(RIGHT(J20,3))</f>
        <v>#VALUE!</v>
      </c>
      <c r="DR20" s="89">
        <f>ROUND(ATAN(E20/10)*180/PI(),4)</f>
        <v>0</v>
      </c>
      <c r="DS20" s="90">
        <f t="shared" si="8"/>
        <v>1</v>
      </c>
      <c r="DT20" s="87">
        <f>VLOOKUP(VALUE(RIGHT(C20,4)),$C$632:$F$641,4)</f>
        <v>200</v>
      </c>
      <c r="DU20" s="87">
        <f>ROUND(I20/DS20*100/DT20,2)</f>
        <v>0</v>
      </c>
      <c r="DV20" s="87">
        <f>ROUND(I20/DS20*100,0)</f>
        <v>0</v>
      </c>
      <c r="DW20" s="87"/>
      <c r="DX20" s="87" t="e">
        <f>ROUNDUP((準備!$F$60/100+準備!$E$48/100)*($G20+$H20)/2,2)</f>
        <v>#N/A</v>
      </c>
      <c r="DY20" s="87"/>
      <c r="DZ20" s="87"/>
      <c r="EA20" s="87"/>
      <c r="EB20" s="87" t="e">
        <f>ROUND(CX20*I20/DS20*100/2/AM20,1)</f>
        <v>#DIV/0!</v>
      </c>
      <c r="EC20" s="87" t="e">
        <f t="shared" si="9"/>
        <v>#DIV/0!</v>
      </c>
      <c r="ED20" s="87" t="e">
        <f>ROUND(CY20*I20/DS20*100/2/AM20,1)</f>
        <v>#VALUE!</v>
      </c>
      <c r="EE20" s="87" t="e">
        <f t="shared" si="10"/>
        <v>#VALUE!</v>
      </c>
      <c r="EF20" s="87"/>
      <c r="EG20" s="87"/>
      <c r="EH20" s="87"/>
      <c r="EI20" s="87" t="str">
        <f>IF(M20=0,"",ROUND(CX20*I20/DS20*100/2/DJ20,2))</f>
        <v/>
      </c>
      <c r="EJ20" s="87" t="str">
        <f>IF(M20=0,"",ROUND(CY20*I20/DS20*100/2/DK20,2))</f>
        <v/>
      </c>
      <c r="EK20" s="63"/>
      <c r="EL20" s="63" t="e">
        <f>ROUNDUP(ER20/3,-1)*3</f>
        <v>#VALUE!</v>
      </c>
      <c r="EM20" s="63" t="e">
        <f>ROUNDUP(ES20/3,-1)*3</f>
        <v>#VALUE!</v>
      </c>
      <c r="EO20" s="63" t="e">
        <f>ROUNDUP(EU20/3,-1)*3</f>
        <v>#VALUE!</v>
      </c>
      <c r="EP20" s="63" t="e">
        <f>ROUNDUP(EV20/3,-1)*3</f>
        <v>#VALUE!</v>
      </c>
      <c r="EQ20" s="155" t="e">
        <f t="shared" si="11"/>
        <v>#VALUE!</v>
      </c>
      <c r="ER20" s="87" t="e">
        <f>ROUNDUP(SQRT(EW20/($K20/10)*6/IF(OR($AB20=0,$AB20=1),1,$AB20))*10,0)</f>
        <v>#VALUE!</v>
      </c>
      <c r="ES20" s="87" t="e">
        <f>POWER(ROUND(EX20/($K20/10)*12/IF(OR($AB20=0,$AB20=1),1,$AB20),0),1/3)*10</f>
        <v>#VALUE!</v>
      </c>
      <c r="EU20" s="87" t="e">
        <f>ROUNDUP(SQRT(EZ20/($K20/10)*6/IF(OR($AB20=0,$AB20=1),1,$AB20))*10,0)</f>
        <v>#VALUE!</v>
      </c>
      <c r="EV20" s="87" t="e">
        <f>POWER(ROUND(FA20/($K20/10)*12/IF(OR($AB20=0,$AB20=1),1,$AB20),0),1/3)*10</f>
        <v>#VALUE!</v>
      </c>
      <c r="EW20" s="87" t="e">
        <f>ROUNDUP($CX20*POWER($DV20,2)/8/DH20,1)</f>
        <v>#VALUE!</v>
      </c>
      <c r="EX20" s="87" t="e">
        <f>ROUNDUP(5*$CX20*POWER($I20/$DS20*100,4)/(384*VLOOKUP(VALUE(RIGHT($J20,4)),許容応力!$B$6:$K$22,10)*100*$DO20),2)</f>
        <v>#VALUE!</v>
      </c>
      <c r="EY20" s="87"/>
      <c r="EZ20" s="87" t="e">
        <f>ROUNDUP($CY20*POWER($I20/$DS20*100,2)/8/DI20,1)</f>
        <v>#VALUE!</v>
      </c>
      <c r="FA20" s="87" t="e">
        <f>ROUNDUP(5*$CY20*POWER($I20/$DS20*100,4)/(384*VLOOKUP(VALUE(RIGHT($J20,4)),許容応力!$B$6:$K$22,10)*100*$DU20),2)</f>
        <v>#VALUE!</v>
      </c>
      <c r="FB20" s="63"/>
      <c r="FC20" s="57"/>
      <c r="FD20" s="57"/>
      <c r="FE20" s="57"/>
      <c r="FF20" s="57"/>
      <c r="FG20" s="57"/>
      <c r="FH20" s="57"/>
      <c r="FI20" s="57"/>
    </row>
    <row r="21" spans="2:165" ht="15.95" customHeight="1" thickBot="1" x14ac:dyDescent="0.2">
      <c r="B21" s="1585"/>
      <c r="C21" s="1163"/>
      <c r="D21" s="330"/>
      <c r="E21" s="1357"/>
      <c r="F21" s="1166"/>
      <c r="G21" s="1359"/>
      <c r="H21" s="1359"/>
      <c r="I21" s="1358"/>
      <c r="J21" s="1575"/>
      <c r="K21" s="1193">
        <f>+IF(J20=0,0,"丸太末口 φ")</f>
        <v>0</v>
      </c>
      <c r="L21" s="1194"/>
      <c r="M21" s="239">
        <f>IF(J20=0,0,+EQ21)</f>
        <v>0</v>
      </c>
      <c r="N21" s="240" t="str">
        <f t="shared" si="0"/>
        <v/>
      </c>
      <c r="O21" s="1519"/>
      <c r="P21" s="1478"/>
      <c r="Q21" s="1356"/>
      <c r="R21" s="1356"/>
      <c r="S21" s="1623"/>
      <c r="T21" s="1356"/>
      <c r="U21" s="1356"/>
      <c r="V21" s="1019" t="str">
        <f>+O$184</f>
        <v/>
      </c>
      <c r="W21" s="1280"/>
      <c r="X21" s="1505"/>
      <c r="Y21" s="1494"/>
      <c r="Z21" s="1494"/>
      <c r="AA21" s="1493"/>
      <c r="AB21" s="1120"/>
      <c r="AC21" s="206" t="str">
        <f t="shared" si="1"/>
        <v/>
      </c>
      <c r="AD21" s="206" t="str">
        <f t="shared" si="2"/>
        <v/>
      </c>
      <c r="AE21" s="1493"/>
      <c r="AF21" s="206" t="str">
        <f t="shared" si="3"/>
        <v/>
      </c>
      <c r="AG21" s="206" t="str">
        <f t="shared" si="4"/>
        <v/>
      </c>
      <c r="AH21" s="1491"/>
      <c r="AI21" s="817"/>
      <c r="AJ21" s="809"/>
      <c r="AK21" s="822"/>
      <c r="AL21" s="810"/>
      <c r="AM21" s="1301"/>
      <c r="AN21" s="1301"/>
      <c r="AO21" s="1303"/>
      <c r="AP21" s="184">
        <f>+IF(I20=0,0,"1/")</f>
        <v>0</v>
      </c>
      <c r="AQ21" s="185">
        <f>IF(I20=0,0,+DN21)</f>
        <v>0</v>
      </c>
      <c r="AR21" s="23"/>
      <c r="AS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1312"/>
      <c r="CN21" s="1301"/>
      <c r="CO21" s="548"/>
      <c r="CP21" s="9" t="e">
        <f>ROUNDUP(CX21*I20/DS21*100/2/DL21,2)</f>
        <v>#VALUE!</v>
      </c>
      <c r="CQ21" s="9" t="e">
        <f>ROUNDUP(CY21*I20/DS21*100/2/DM21,2)</f>
        <v>#VALUE!</v>
      </c>
      <c r="CR21" s="9" t="e">
        <f t="shared" si="5"/>
        <v>#VALUE!</v>
      </c>
      <c r="CS21" s="9">
        <f>IF(M21=0,0,ROUNDUP(SQRT(AA21*(M21/10-6)*(M21/10-3))/(X21*X21),2))</f>
        <v>0</v>
      </c>
      <c r="CT21" s="78"/>
      <c r="CU21" s="78">
        <f t="shared" si="6"/>
        <v>0</v>
      </c>
      <c r="CV21" s="78" t="e">
        <f>ROUNDUP(IF(VALUE(RIGHT($G$3,4))=1,$I$3*30*F20*100,$I$3*20*F20*100),0)</f>
        <v>#VALUE!</v>
      </c>
      <c r="CW21" s="78"/>
      <c r="CX21" s="78">
        <f>ROUNDUP((準備!$G$57/100/DS21+IF(AND(VALUE(RIGHT($G$3,4))=1,$T$3=2),CU21/100*1.2,CU21/100))*(G20+H20)/2,2)</f>
        <v>0</v>
      </c>
      <c r="CY21" s="78" t="e">
        <f>ROUNDUP((準備!$G$57/100/DS21+IF(AND(VALUE(RIGHT($G$3,4))=1,$T$3=2),CV21/100*1.2,CV21/100))*(G20+H20)/2,2)</f>
        <v>#VALUE!</v>
      </c>
      <c r="CZ21" s="78">
        <f>IF(K21=0,0,ROUNDUP($CX21*POWER($DV21,2)/8/$DF21,1))</f>
        <v>0</v>
      </c>
      <c r="DA21" s="63">
        <f>IF($K21=0,0,ROUNDUP(5*$CX21*POWER($I20*100,4)/(384*VLOOKUP(VALUE(RIGHT($J20,4)),許容応力!$L$6:$U$22,10)*100*$DG21),2))</f>
        <v>0</v>
      </c>
      <c r="DB21" s="78" t="e">
        <f>ROUND((CX21*I20/DS21*100/2+EA21)/Z21,1)</f>
        <v>#DIV/0!</v>
      </c>
      <c r="DC21" s="78" t="e">
        <f>ROUNDUP($CY21*POWER($I20/$DS21*100,2)/8/$DF21,1)</f>
        <v>#VALUE!</v>
      </c>
      <c r="DD21" s="63" t="e">
        <f>ROUNDUP(5*$CY21*POWER($I20*100,4)/(384*VLOOKUP(VALUE(RIGHT($J20,4)),許容応力!$L$6:$U$22,10)*100*$DG21),2)</f>
        <v>#VALUE!</v>
      </c>
      <c r="DE21" s="78" t="e">
        <f>ROUND((CY21*I20/DS21*100/2+EA21)/Z21,1)</f>
        <v>#VALUE!</v>
      </c>
      <c r="DF21" s="63">
        <f>IF(M21&lt;180,ROUND((M21/10-3)*POWER(M21/10-3,2)/6*IF(AB21=0,1,AB21),0),ROUND((M21/10-5)*POWER(M21/10-3,2)/6*IF($AB21=0,1,$AB21),0))</f>
        <v>-5</v>
      </c>
      <c r="DG21" s="63">
        <f>ROUND(IF(M21&lt;180,(M21/10-3)*POWER((M21/10-3),3)/12*IF(AB21=0,1,AB21),(M21/10-5))*POWER((M21/10-3),3)/12*IF(AB21=0,1,AB21),0)</f>
        <v>-15</v>
      </c>
      <c r="DH21" s="10" t="e">
        <f>IF($DN$6=2,ROUND(VLOOKUP(DQ21,許容応力!$L$6:$U$22,7)*1.1/3*100,0),ROUND(VLOOKUP(DQ21,許容応力!$L$6:$U$22,7)*1.1/3*1.3*100,0))</f>
        <v>#VALUE!</v>
      </c>
      <c r="DI21" s="63" t="e">
        <f>ROUND(VLOOKUP(DQ21,許容応力!$L$6:$U$22,7)*100*2/3*0.8,0)</f>
        <v>#VALUE!</v>
      </c>
      <c r="DJ21" s="10" t="e">
        <f>IF($DN$6=2,ROUND(VLOOKUP(DQ21,許容応力!$L$6:$U$22,8)*1.1/3*100,0),ROUND(VLOOKUP(DQ21,許容応力!$L$6:$U$22,8)*1.1/3*1.3*100,0))</f>
        <v>#VALUE!</v>
      </c>
      <c r="DK21" s="63" t="e">
        <f>ROUND(VLOOKUP(DQ21,許容応力!$L$6:$U$22,8)*100*2/3*0.8,0)</f>
        <v>#VALUE!</v>
      </c>
      <c r="DL21" s="10" t="e">
        <f>IF($DN$6=2,ROUND(VLOOKUP(DQ21,許容応力!$L$6:$U$22,9)*1.1/3*100,0),ROUND(VLOOKUP(DQ21,許容応力!$L$6:$U$22,9)*1.1/3*1.3*100,0))</f>
        <v>#VALUE!</v>
      </c>
      <c r="DM21" s="63" t="e">
        <f>ROUND(VLOOKUP(DQ21,許容応力!$L$6:$U$22,9)*100*2/3*0.8,0)</f>
        <v>#VALUE!</v>
      </c>
      <c r="DN21" s="78">
        <f t="shared" si="7"/>
        <v>200</v>
      </c>
      <c r="DO21" s="78">
        <f>ROUND(I20/DS21*100/DN21,2)</f>
        <v>0</v>
      </c>
      <c r="DP21" s="78"/>
      <c r="DQ21" s="78" t="e">
        <f>+VALUE(RIGHT(J20,3))</f>
        <v>#VALUE!</v>
      </c>
      <c r="DR21" s="92">
        <f>ROUND(ATAN(E20/10)*180/PI(),4)</f>
        <v>0</v>
      </c>
      <c r="DS21" s="80">
        <f t="shared" si="8"/>
        <v>1</v>
      </c>
      <c r="DT21" s="78">
        <f>VLOOKUP(VALUE(RIGHT(C20,4)),$C$632:$F$641,4)</f>
        <v>200</v>
      </c>
      <c r="DU21" s="78">
        <f>ROUND(I20/DS21*100/DT21,2)</f>
        <v>0</v>
      </c>
      <c r="DV21" s="78">
        <f>ROUND(I20/DS21*100,0)</f>
        <v>0</v>
      </c>
      <c r="DW21" s="78"/>
      <c r="DX21" s="78" t="e">
        <f>ROUNDUP((準備!$F$60/100+準備!$E$48/100)*($G20+$H20)/2,2)</f>
        <v>#N/A</v>
      </c>
      <c r="DY21" s="71">
        <f>IF(I20&lt;6,POWER(M21/10,2)*I20/10000,POWER((M21/10+(ROUNDDOWN(I20,0)-4)/2),2)*I20/10000)</f>
        <v>0</v>
      </c>
      <c r="DZ21" s="78">
        <v>200</v>
      </c>
      <c r="EA21" s="93">
        <f>ROUND(DY21*DZ21/100,0)</f>
        <v>0</v>
      </c>
      <c r="EB21" s="78" t="e">
        <f>ROUND((CX21*I20/DS21*100/2+EA21)/AM21,1)</f>
        <v>#DIV/0!</v>
      </c>
      <c r="EC21" s="78" t="e">
        <f t="shared" si="9"/>
        <v>#DIV/0!</v>
      </c>
      <c r="ED21" s="78" t="e">
        <f>ROUND((CY21*I20/DS21*100/2+EA21)/AM21,1)</f>
        <v>#VALUE!</v>
      </c>
      <c r="EE21" s="78" t="e">
        <f t="shared" si="10"/>
        <v>#VALUE!</v>
      </c>
      <c r="EF21" s="78"/>
      <c r="EG21" s="78"/>
      <c r="EH21" s="78"/>
      <c r="EI21" s="78" t="str">
        <f>IF(M21=0,"",ROUND(CX21*I20/DS21*100/2/DJ21,2))</f>
        <v/>
      </c>
      <c r="EJ21" s="78" t="str">
        <f>IF(M21=0,"",ROUND(CY21*I20/DS21*100/2/DK21,2))</f>
        <v/>
      </c>
      <c r="EK21" s="63"/>
      <c r="EL21" s="63" t="e">
        <f>IF(AB21=0.8,VLOOKUP(ER21,$CR$395:$CS$439,2),IF(AB21=0.9,VLOOKUP(ER21,$CR$348:$CS$394,2),VLOOKUP(ER21,$CR$301:$CS$344,2)))</f>
        <v>#VALUE!</v>
      </c>
      <c r="EM21" s="63" t="e">
        <f>IF(AB21=0.8,VLOOKUP(ES21,$CT$395:$CU$439,2),IF(AB21=0.9,VLOOKUP(ES21,$CT$348:$CU$394,2),VLOOKUP(ES21,$CT$301:$CU$344,2)))</f>
        <v>#VALUE!</v>
      </c>
      <c r="EO21" s="63" t="e">
        <f>IF(AB21=0.8,VLOOKUP(EU21,$CR$395:$CS$439,2),IF(AB21=0.9,VLOOKUP(EU21,$CR$348:$CS$394,2),VLOOKUP(EU21,$CR$301:$CS$344,2)))</f>
        <v>#VALUE!</v>
      </c>
      <c r="EP21" s="63" t="e">
        <f>IF(AB21=0.8,VLOOKUP(EV21,$CT$395:$CU$439,2),IF(AB21=0.9,VLOOKUP(EV21,$CT$348:$CU$394,2),VLOOKUP(EV21,$CT$301:$CU$344,2)))</f>
        <v>#VALUE!</v>
      </c>
      <c r="EQ21" s="155" t="e">
        <f t="shared" si="11"/>
        <v>#VALUE!</v>
      </c>
      <c r="ER21" s="78" t="e">
        <f>ROUNDUP($CX21*POWER($DV21,2)/8/$DH21,1)</f>
        <v>#VALUE!</v>
      </c>
      <c r="ES21" s="78" t="e">
        <f>ROUNDUP(5*$CX21*POWER($I20/$DS21*100,4)/(384*VLOOKUP(VALUE(RIGHT($J20,4)),許容応力!$B$6:$K$22,10)*100*$DO21),2)</f>
        <v>#VALUE!</v>
      </c>
      <c r="ET21" s="78"/>
      <c r="EU21" s="78" t="e">
        <f>ROUNDUP($CY21*POWER($I20/$DS21*100,2)/8/$DI21,1)</f>
        <v>#VALUE!</v>
      </c>
      <c r="EV21" s="78" t="e">
        <f>ROUNDUP(5*$CY21*POWER($I20/$DS21*100,4)/(384*VLOOKUP(VALUE(RIGHT($J20,4)),許容応力!$B$6:$K$22,10)*100*$DU21),2)</f>
        <v>#VALUE!</v>
      </c>
      <c r="EW21" s="63"/>
      <c r="EX21" s="63"/>
      <c r="EY21" s="63"/>
      <c r="EZ21" s="63"/>
      <c r="FA21" s="63"/>
      <c r="FB21" s="63"/>
      <c r="FC21" s="57"/>
      <c r="FD21" s="57"/>
      <c r="FE21" s="57"/>
      <c r="FF21" s="57"/>
      <c r="FG21" s="57"/>
      <c r="FH21" s="57"/>
      <c r="FI21" s="57"/>
    </row>
    <row r="22" spans="2:165" ht="15.95" customHeight="1" thickBot="1" x14ac:dyDescent="0.2">
      <c r="B22" s="1585"/>
      <c r="C22" s="1163" t="s">
        <v>811</v>
      </c>
      <c r="D22" s="331"/>
      <c r="E22" s="1357"/>
      <c r="F22" s="1165" t="str">
        <f>IF(E22=0,"",ROUND(SQRT(COS(DR22*1.5*PI()/180)),3))</f>
        <v/>
      </c>
      <c r="G22" s="1359"/>
      <c r="H22" s="1359"/>
      <c r="I22" s="1516"/>
      <c r="J22" s="1521"/>
      <c r="K22" s="1116"/>
      <c r="L22" s="196">
        <f>+IF(K22=0,0,"×")</f>
        <v>0</v>
      </c>
      <c r="M22" s="241">
        <f>IF(K22=0,0,+EQ22)</f>
        <v>0</v>
      </c>
      <c r="N22" s="242" t="str">
        <f t="shared" si="0"/>
        <v/>
      </c>
      <c r="O22" s="1520">
        <f t="shared" ref="O22" si="36">IF(Z22=0,0,IF(AND(U22=0,X22=0),0,IF(IF(AE22&gt;=AH22,AE22,AH22)&lt;=1,"OK!","NO!")))</f>
        <v>0</v>
      </c>
      <c r="P22" s="1478"/>
      <c r="Q22" s="1572"/>
      <c r="R22" s="1572"/>
      <c r="S22" s="1616">
        <f t="shared" ref="S22" si="37">+IF(R22=0,0,6)</f>
        <v>0</v>
      </c>
      <c r="T22" s="1572"/>
      <c r="U22" s="1572"/>
      <c r="V22" s="196" t="str">
        <f>+P$185</f>
        <v/>
      </c>
      <c r="W22" s="1321">
        <f>IF(U22=0,0,+VLOOKUP(V22,$I$204:$J$209,2))</f>
        <v>0</v>
      </c>
      <c r="X22" s="1496"/>
      <c r="Y22" s="1311">
        <f>IF(X22=0,0,+CS22)</f>
        <v>0</v>
      </c>
      <c r="Z22" s="1313">
        <f>IF(AND(R22=0,X22=0),0,+IF(AND(VALUE(RIGHT(P22,4))=2,R22&gt;0),0,IF(AND(VALUE(RIGHT(P22,4))=1,X22&gt;0),0,CM22)))</f>
        <v>0</v>
      </c>
      <c r="AA22" s="1314">
        <f>IF(X22=0,0,IF(EI22&gt;=EJ22,EI22,EJ22))</f>
        <v>0</v>
      </c>
      <c r="AB22" s="1121"/>
      <c r="AC22" s="201" t="str">
        <f t="shared" si="1"/>
        <v/>
      </c>
      <c r="AD22" s="201" t="str">
        <f t="shared" si="2"/>
        <v/>
      </c>
      <c r="AE22" s="1314">
        <f>IF(F22=+"",0,IF(AND(U22=0,X22=0),0,IF(X22=0,ROUND(DB22/(DJ22*$CP$4*W22),2),ROUND(DB22/DJ22,2))))</f>
        <v>0</v>
      </c>
      <c r="AF22" s="201" t="str">
        <f t="shared" si="3"/>
        <v/>
      </c>
      <c r="AG22" s="201" t="str">
        <f t="shared" si="4"/>
        <v/>
      </c>
      <c r="AH22" s="1314">
        <f>IF(F22=+"",0,IF(AND(U22=0,X22=0),0,IF(X22=0,ROUND(DE22/(DK22*$CP$4*W22),2),ROUND(DE22/DK22,2))))</f>
        <v>0</v>
      </c>
      <c r="AI22" s="818"/>
      <c r="AJ22" s="811"/>
      <c r="AK22" s="823"/>
      <c r="AL22" s="812"/>
      <c r="AM22" s="1300">
        <f>IF(AI22=0,0,ROUND(AI22*AJ22+AK22*AL22+AI23*AJ23+AK23*AL23,2))</f>
        <v>0</v>
      </c>
      <c r="AN22" s="1300">
        <f t="shared" ref="AN22" si="38">IF(AJ22=0,0,IF(CO22=1,CN22/($CP$4*W22),CN22))</f>
        <v>0</v>
      </c>
      <c r="AO22" s="1302" t="str">
        <f t="shared" ref="AO22" si="39">IF(AN22=0,"",IF(AN22&lt;=1,"OK!","NO!"))</f>
        <v/>
      </c>
      <c r="AP22" s="182">
        <f>+IF(I22=0,0,"1/")</f>
        <v>0</v>
      </c>
      <c r="AQ22" s="183">
        <f>IF(I22=0,0,+DN22)</f>
        <v>0</v>
      </c>
      <c r="AR22" s="23"/>
      <c r="AS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1313">
        <f>IF(AND(U22=0,X22=0),0,IF(U22&gt;0,P$196/100*$CP$4*W22,ROUND(POWER(X22*Y22,2)/(K22/10*M22/10),2)))</f>
        <v>0</v>
      </c>
      <c r="CN22" s="1304" t="str">
        <f>IF($AJ22=0,"",IF($EC22&gt;=$EE22,$EC22,$EE22))</f>
        <v/>
      </c>
      <c r="CO22" s="552">
        <f>IF(P22=0,0,+VALUE(RIGHT(P22,4)))</f>
        <v>0</v>
      </c>
      <c r="CP22" s="91" t="e">
        <f>ROUNDUP(CX22*I22/DS22*100/2/DL22,2)</f>
        <v>#VALUE!</v>
      </c>
      <c r="CQ22" s="91" t="e">
        <f>ROUNDUP(CY22*I22/DS22*100/2/DM22,2)</f>
        <v>#VALUE!</v>
      </c>
      <c r="CR22" s="91" t="e">
        <f t="shared" ref="CR22:CR29" si="40">IF(CP22&gt;=CQ22,CP22,CQ22)</f>
        <v>#VALUE!</v>
      </c>
      <c r="CS22" s="9">
        <f>IF(M22=0,0,ROUNDUP(SQRT((AA22*K22/10*M22/10)/(X22*X22)),2))</f>
        <v>0</v>
      </c>
      <c r="CT22" s="87"/>
      <c r="CU22" s="87">
        <f t="shared" ref="CU22:CU29" si="41">ROUNDUP(IF(VALUE(RIGHT($G$3,3))=1,CV22*0.7,0),0)</f>
        <v>0</v>
      </c>
      <c r="CV22" s="87" t="e">
        <f>ROUNDUP(IF(VALUE(RIGHT($G$3,4))=1,$I$3*30*F22*100,$I$3*20*F22*100),0)</f>
        <v>#VALUE!</v>
      </c>
      <c r="CW22" s="87"/>
      <c r="CX22" s="87">
        <f>ROUNDUP((準備!$G$57/100/DS22+IF(AND(VALUE(RIGHT($G$3,4))=1,$T$3=2),CU22/100*1.2,CU22/100))*(G22+H22)/2,2)</f>
        <v>0</v>
      </c>
      <c r="CY22" s="87" t="e">
        <f>ROUNDUP((準備!$G$57/100/DS22+IF(AND(VALUE(RIGHT($G$3,4))=1,$T$3=2),CV22/100*1.2,CV22/100))*(G22+H22)/2,2)</f>
        <v>#VALUE!</v>
      </c>
      <c r="CZ22" s="87" t="e">
        <f>ROUNDUP($CX22*POWER($DV22,2)/8/$DF22,1)</f>
        <v>#DIV/0!</v>
      </c>
      <c r="DA22" s="87" t="e">
        <f>ROUNDUP(5*$CX22*POWER($I22/$DS22*100,4)/(384*VLOOKUP(VALUE(RIGHT($J22,4)),許容応力!$B$6:$K$22,10)*100*$DG22),2)</f>
        <v>#VALUE!</v>
      </c>
      <c r="DB22" s="87" t="e">
        <f>ROUND(CX22*I22/DS22*100/2/Z22,1)</f>
        <v>#DIV/0!</v>
      </c>
      <c r="DC22" s="87" t="e">
        <f>ROUNDUP($CY22*POWER($I22/$DS22*100,2)/8/$DF22,1)</f>
        <v>#VALUE!</v>
      </c>
      <c r="DD22" s="87" t="e">
        <f>ROUNDUP(5*$CY22*POWER($I22/$DS22*100,4)/(384*VLOOKUP(VALUE(RIGHT($J22,4)),許容応力!$B$6:$K$22,10)*100*$DG22),2)</f>
        <v>#VALUE!</v>
      </c>
      <c r="DE22" s="87" t="e">
        <f>ROUND(CY22*I22/DS22*100/2/Z22,1)</f>
        <v>#VALUE!</v>
      </c>
      <c r="DF22" s="87">
        <f>ROUNDDOWN($K22/10*POWER($M22/10,2)/6*IF(OR($AB22=0,$AB22=1),1,$AB22),0)</f>
        <v>0</v>
      </c>
      <c r="DG22" s="87">
        <f>ROUNDDOWN($K22/10*POWER($M22/10,3)/12*IF(OR($AB22=0,$AB22=1),1,$AB22),0)</f>
        <v>0</v>
      </c>
      <c r="DH22" s="10" t="e">
        <f>IF($DN$6=2,ROUND(VLOOKUP(DQ22,許容応力!$B$6:$K$22,7)*1.1/3*100,0),ROUND(VLOOKUP(DQ22,許容応力!$B$6:$K$22,7)*1.1/3*1.3*100,0))</f>
        <v>#VALUE!</v>
      </c>
      <c r="DI22" s="87" t="e">
        <f>ROUND(VLOOKUP(DQ22,許容応力!$B$6:$K$22,7)*100*2/3*0.8,0)</f>
        <v>#VALUE!</v>
      </c>
      <c r="DJ22" s="10" t="e">
        <f>IF($DN$6=2,ROUND(VLOOKUP(DQ22,許容応力!$B$6:$K$22,8)*1.1/3*100,0),ROUND(VLOOKUP(DQ22,許容応力!$B$6:$K$22,8)*1.1/3*1.3*100,0))</f>
        <v>#VALUE!</v>
      </c>
      <c r="DK22" s="87" t="e">
        <f>ROUND(VLOOKUP(DQ22,許容応力!$B$6:$K$22,8)*100*2/3*0.8,0)</f>
        <v>#VALUE!</v>
      </c>
      <c r="DL22" s="10" t="e">
        <f>IF($DN$6=2,ROUND(VLOOKUP(DQ22,許容応力!$B$6:$K$22,9)*1.1/3*100,0),ROUND(VLOOKUP(DQ22,許容応力!$B$6:$K$22,9)*1.1/3*1.3*100,0))</f>
        <v>#VALUE!</v>
      </c>
      <c r="DM22" s="87" t="e">
        <f>ROUND(VLOOKUP(DQ22,許容応力!$B$6:$K$22,9)*100*2/3*0.8,0)</f>
        <v>#VALUE!</v>
      </c>
      <c r="DN22" s="87">
        <f t="shared" si="7"/>
        <v>200</v>
      </c>
      <c r="DO22" s="87">
        <f>ROUND(I22/DS22*100/DN22,2)</f>
        <v>0</v>
      </c>
      <c r="DP22" s="87"/>
      <c r="DQ22" s="87" t="e">
        <f>+VALUE(RIGHT(J22,3))</f>
        <v>#VALUE!</v>
      </c>
      <c r="DR22" s="89">
        <f>ROUND(ATAN(E22/10)*180/PI(),4)</f>
        <v>0</v>
      </c>
      <c r="DS22" s="90">
        <f t="shared" ref="DS22:DS29" si="42">ROUND(COS(DR22*PI()/180),3)</f>
        <v>1</v>
      </c>
      <c r="DT22" s="87">
        <f>VLOOKUP(VALUE(RIGHT(C22,4)),$C$632:$F$641,4)</f>
        <v>200</v>
      </c>
      <c r="DU22" s="87">
        <f>ROUND(I22/DS22*100/DT22,2)</f>
        <v>0</v>
      </c>
      <c r="DV22" s="87">
        <f>ROUND(I22/DS22*100,0)</f>
        <v>0</v>
      </c>
      <c r="DW22" s="87"/>
      <c r="DX22" s="87" t="e">
        <f>ROUNDUP((準備!$F$60/100+準備!$E$48/100)*($G22+$H22)/2,2)</f>
        <v>#N/A</v>
      </c>
      <c r="DY22" s="87"/>
      <c r="DZ22" s="87"/>
      <c r="EA22" s="87"/>
      <c r="EB22" s="87" t="e">
        <f>ROUND(CX22*I22/DS22*100/2/AM22,1)</f>
        <v>#DIV/0!</v>
      </c>
      <c r="EC22" s="87" t="e">
        <f t="shared" ref="EC22:EC29" si="43">ROUND(EB22/DL22,2)</f>
        <v>#DIV/0!</v>
      </c>
      <c r="ED22" s="87" t="e">
        <f>ROUND(CY22*I22/DS22*100/2/AM22,1)</f>
        <v>#VALUE!</v>
      </c>
      <c r="EE22" s="87" t="e">
        <f t="shared" ref="EE22:EE29" si="44">ROUND(ED22/DM22,2)</f>
        <v>#VALUE!</v>
      </c>
      <c r="EF22" s="87"/>
      <c r="EG22" s="87"/>
      <c r="EH22" s="87"/>
      <c r="EI22" s="87" t="str">
        <f>IF(M22=0,"",ROUND(CX22*I22/DS22*100/2/DJ22,2))</f>
        <v/>
      </c>
      <c r="EJ22" s="87" t="str">
        <f>IF(M22=0,"",ROUND(CY22*I22/DS22*100/2/DK22,2))</f>
        <v/>
      </c>
      <c r="EK22" s="63"/>
      <c r="EL22" s="63" t="e">
        <f>ROUNDUP(ER22/3,-1)*3</f>
        <v>#VALUE!</v>
      </c>
      <c r="EM22" s="63" t="e">
        <f>ROUNDUP(ES22/3,-1)*3</f>
        <v>#VALUE!</v>
      </c>
      <c r="EO22" s="63" t="e">
        <f>ROUNDUP(EU22/3,-1)*3</f>
        <v>#VALUE!</v>
      </c>
      <c r="EP22" s="63" t="e">
        <f>ROUNDUP(EV22/3,-1)*3</f>
        <v>#VALUE!</v>
      </c>
      <c r="EQ22" s="155" t="e">
        <f t="shared" ref="EQ22:EQ29" si="45">+MAX(EL22:EP22)</f>
        <v>#VALUE!</v>
      </c>
      <c r="ER22" s="87" t="e">
        <f>ROUNDUP(SQRT(EW22/($K22/10)*6/IF(OR($AB22=0,$AB22=1),1,$AB22))*10,0)</f>
        <v>#VALUE!</v>
      </c>
      <c r="ES22" s="87" t="e">
        <f>POWER(ROUND(EX22/($K22/10)*12/IF(OR($AB22=0,$AB22=1),1,$AB22),0),1/3)*10</f>
        <v>#VALUE!</v>
      </c>
      <c r="EU22" s="87" t="e">
        <f>ROUNDUP(SQRT(EZ22/($K22/10)*6/IF(OR($AB22=0,$AB22=1),1,$AB22))*10,0)</f>
        <v>#VALUE!</v>
      </c>
      <c r="EV22" s="87" t="e">
        <f>POWER(ROUND(FA22/($K22/10)*12/IF(OR($AB22=0,$AB22=1),1,$AB22),0),1/3)*10</f>
        <v>#VALUE!</v>
      </c>
      <c r="EW22" s="87" t="e">
        <f>ROUNDUP($CX22*POWER($DV22,2)/8/DH22,1)</f>
        <v>#VALUE!</v>
      </c>
      <c r="EX22" s="87" t="e">
        <f>ROUNDUP(5*$CX22*POWER($I22/$DS22*100,4)/(384*VLOOKUP(VALUE(RIGHT($J22,4)),許容応力!$B$6:$K$22,10)*100*$DO22),2)</f>
        <v>#VALUE!</v>
      </c>
      <c r="EY22" s="87"/>
      <c r="EZ22" s="87" t="e">
        <f>ROUNDUP($CY22*POWER($I22/$DS22*100,2)/8/DI22,1)</f>
        <v>#VALUE!</v>
      </c>
      <c r="FA22" s="87" t="e">
        <f>ROUNDUP(5*$CY22*POWER($I22/$DS22*100,4)/(384*VLOOKUP(VALUE(RIGHT($J22,4)),許容応力!$B$6:$K$22,10)*100*$DU22),2)</f>
        <v>#VALUE!</v>
      </c>
      <c r="FB22" s="63"/>
      <c r="FC22" s="57"/>
      <c r="FD22" s="57"/>
      <c r="FE22" s="57"/>
      <c r="FF22" s="57"/>
      <c r="FG22" s="57"/>
      <c r="FH22" s="57"/>
      <c r="FI22" s="57"/>
    </row>
    <row r="23" spans="2:165" ht="15.95" customHeight="1" thickBot="1" x14ac:dyDescent="0.2">
      <c r="B23" s="1585"/>
      <c r="C23" s="1163"/>
      <c r="D23" s="330"/>
      <c r="E23" s="1357"/>
      <c r="F23" s="1166"/>
      <c r="G23" s="1359"/>
      <c r="H23" s="1359"/>
      <c r="I23" s="1359"/>
      <c r="J23" s="1521"/>
      <c r="K23" s="1193">
        <f>+IF(J22=0,0,"丸太末口 φ")</f>
        <v>0</v>
      </c>
      <c r="L23" s="1194"/>
      <c r="M23" s="239">
        <f>IF(J22=0,0,+EQ23)</f>
        <v>0</v>
      </c>
      <c r="N23" s="240" t="str">
        <f t="shared" si="0"/>
        <v/>
      </c>
      <c r="O23" s="1519"/>
      <c r="P23" s="1478"/>
      <c r="Q23" s="1572"/>
      <c r="R23" s="1572"/>
      <c r="S23" s="1617"/>
      <c r="T23" s="1572"/>
      <c r="U23" s="1572"/>
      <c r="V23" s="1019" t="str">
        <f>+P$184</f>
        <v/>
      </c>
      <c r="W23" s="1321"/>
      <c r="X23" s="1497"/>
      <c r="Y23" s="1312"/>
      <c r="Z23" s="1312"/>
      <c r="AA23" s="1254"/>
      <c r="AB23" s="1120"/>
      <c r="AC23" s="206" t="str">
        <f t="shared" si="1"/>
        <v/>
      </c>
      <c r="AD23" s="206" t="str">
        <f t="shared" si="2"/>
        <v/>
      </c>
      <c r="AE23" s="1254"/>
      <c r="AF23" s="206" t="str">
        <f t="shared" si="3"/>
        <v/>
      </c>
      <c r="AG23" s="206" t="str">
        <f t="shared" si="4"/>
        <v/>
      </c>
      <c r="AH23" s="1470"/>
      <c r="AI23" s="817"/>
      <c r="AJ23" s="809"/>
      <c r="AK23" s="822"/>
      <c r="AL23" s="810"/>
      <c r="AM23" s="1301"/>
      <c r="AN23" s="1301"/>
      <c r="AO23" s="1303"/>
      <c r="AP23" s="184">
        <f>+IF(I22=0,0,"1/")</f>
        <v>0</v>
      </c>
      <c r="AQ23" s="185">
        <f>IF(I22=0,0,+DN23)</f>
        <v>0</v>
      </c>
      <c r="AR23" s="23"/>
      <c r="AS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1312"/>
      <c r="CN23" s="1301"/>
      <c r="CO23" s="548"/>
      <c r="CP23" s="9" t="e">
        <f>ROUNDUP(CX23*I22/DS23*100/2/DL23,2)</f>
        <v>#VALUE!</v>
      </c>
      <c r="CQ23" s="9" t="e">
        <f>ROUNDUP(CY23*I22/DS23*100/2/DM23,2)</f>
        <v>#VALUE!</v>
      </c>
      <c r="CR23" s="9" t="e">
        <f t="shared" si="40"/>
        <v>#VALUE!</v>
      </c>
      <c r="CS23" s="9">
        <f>IF(M23=0,0,ROUNDUP(SQRT(AA23*(M23/10-6)*(M23/10-3))/(X23*X23),2))</f>
        <v>0</v>
      </c>
      <c r="CT23" s="78"/>
      <c r="CU23" s="78">
        <f t="shared" si="41"/>
        <v>0</v>
      </c>
      <c r="CV23" s="78" t="e">
        <f>ROUNDUP(IF(VALUE(RIGHT($G$3,4))=1,$I$3*30*F22*100,$I$3*20*F22*100),0)</f>
        <v>#VALUE!</v>
      </c>
      <c r="CW23" s="78"/>
      <c r="CX23" s="78">
        <f>ROUNDUP((準備!$G$57/100/DS23+IF(AND(VALUE(RIGHT($G$3,4))=1,$T$3=2),CU23/100*1.2,CU23/100))*(G22+H22)/2,2)</f>
        <v>0</v>
      </c>
      <c r="CY23" s="78" t="e">
        <f>ROUNDUP((準備!$G$57/100/DS23+IF(AND(VALUE(RIGHT($G$3,4))=1,$T$3=2),CV23/100*1.2,CV23/100))*(G22+H22)/2,2)</f>
        <v>#VALUE!</v>
      </c>
      <c r="CZ23" s="78">
        <f>IF(K23=0,0,ROUNDUP($CX23*POWER($DV23,2)/8/$DF23,1))</f>
        <v>0</v>
      </c>
      <c r="DA23" s="63">
        <f>IF($K23=0,0,ROUNDUP(5*$CX23*POWER($I22*100,4)/(384*VLOOKUP(VALUE(RIGHT($J22,4)),許容応力!$L$6:$U$22,10)*100*$DG23),2))</f>
        <v>0</v>
      </c>
      <c r="DB23" s="78" t="e">
        <f>ROUND((CX23*I22/DS23*100/2+EA23)/Z23,1)</f>
        <v>#DIV/0!</v>
      </c>
      <c r="DC23" s="78" t="e">
        <f>ROUNDUP($CY23*POWER($I22/$DS23*100,2)/8/$DF23,1)</f>
        <v>#VALUE!</v>
      </c>
      <c r="DD23" s="63" t="e">
        <f>ROUNDUP(5*$CY23*POWER($I22*100,4)/(384*VLOOKUP(VALUE(RIGHT($J22,4)),許容応力!$L$6:$U$22,10)*100*$DG23),2)</f>
        <v>#VALUE!</v>
      </c>
      <c r="DE23" s="78" t="e">
        <f>ROUND((CY23*I22/DS23*100/2+EA23)/Z23,1)</f>
        <v>#VALUE!</v>
      </c>
      <c r="DF23" s="63">
        <f>IF(M23&lt;180,ROUND((M23/10-3)*POWER(M23/10-3,2)/6*IF(AB23=0,1,AB23),0),ROUND((M23/10-5)*POWER(M23/10-3,2)/6*IF($AB23=0,1,$AB23),0))</f>
        <v>-5</v>
      </c>
      <c r="DG23" s="63">
        <f>ROUND(IF(M23&lt;180,(M23/10-3)*POWER((M23/10-3),3)/12*IF(AB23=0,1,AB23),(M23/10-5))*POWER((M23/10-3),3)/12*IF(AB23=0,1,AB23),0)</f>
        <v>-15</v>
      </c>
      <c r="DH23" s="10" t="e">
        <f>IF($DN$6=2,ROUND(VLOOKUP(DQ23,許容応力!$L$6:$U$22,7)*1.1/3*100,0),ROUND(VLOOKUP(DQ23,許容応力!$L$6:$U$22,7)*1.1/3*1.3*100,0))</f>
        <v>#VALUE!</v>
      </c>
      <c r="DI23" s="63" t="e">
        <f>ROUND(VLOOKUP(DQ23,許容応力!$L$6:$U$22,7)*100*2/3*0.8,0)</f>
        <v>#VALUE!</v>
      </c>
      <c r="DJ23" s="10" t="e">
        <f>IF($DN$6=2,ROUND(VLOOKUP(DQ23,許容応力!$L$6:$U$22,8)*1.1/3*100,0),ROUND(VLOOKUP(DQ23,許容応力!$L$6:$U$22,8)*1.1/3*1.3*100,0))</f>
        <v>#VALUE!</v>
      </c>
      <c r="DK23" s="63" t="e">
        <f>ROUND(VLOOKUP(DQ23,許容応力!$L$6:$U$22,8)*100*2/3*0.8,0)</f>
        <v>#VALUE!</v>
      </c>
      <c r="DL23" s="10" t="e">
        <f>IF($DN$6=2,ROUND(VLOOKUP(DQ23,許容応力!$L$6:$U$22,9)*1.1/3*100,0),ROUND(VLOOKUP(DQ23,許容応力!$L$6:$U$22,9)*1.1/3*1.3*100,0))</f>
        <v>#VALUE!</v>
      </c>
      <c r="DM23" s="63" t="e">
        <f>ROUND(VLOOKUP(DQ23,許容応力!$L$6:$U$22,9)*100*2/3*0.8,0)</f>
        <v>#VALUE!</v>
      </c>
      <c r="DN23" s="78">
        <f t="shared" si="7"/>
        <v>200</v>
      </c>
      <c r="DO23" s="78">
        <f>ROUND(I22/DS23*100/DN23,2)</f>
        <v>0</v>
      </c>
      <c r="DP23" s="78"/>
      <c r="DQ23" s="78" t="e">
        <f>+VALUE(RIGHT(J22,3))</f>
        <v>#VALUE!</v>
      </c>
      <c r="DR23" s="92">
        <f>ROUND(ATAN(E22/10)*180/PI(),4)</f>
        <v>0</v>
      </c>
      <c r="DS23" s="80">
        <f t="shared" si="42"/>
        <v>1</v>
      </c>
      <c r="DT23" s="78">
        <f>VLOOKUP(VALUE(RIGHT(C22,4)),$C$632:$F$641,4)</f>
        <v>200</v>
      </c>
      <c r="DU23" s="78">
        <f>ROUND(I22/DS23*100/DT23,2)</f>
        <v>0</v>
      </c>
      <c r="DV23" s="78">
        <f>ROUND(I22/DS23*100,0)</f>
        <v>0</v>
      </c>
      <c r="DW23" s="78"/>
      <c r="DX23" s="78" t="e">
        <f>ROUNDUP((準備!$F$60/100+準備!$E$48/100)*($G22+$H22)/2,2)</f>
        <v>#N/A</v>
      </c>
      <c r="DY23" s="71">
        <f>IF(I22&lt;6,POWER(M23/10,2)*I22/10000,POWER((M23/10+(ROUNDDOWN(I22,0)-4)/2),2)*I22/10000)</f>
        <v>0</v>
      </c>
      <c r="DZ23" s="78">
        <v>200</v>
      </c>
      <c r="EA23" s="93">
        <f>ROUND(DY23*DZ23/100,0)</f>
        <v>0</v>
      </c>
      <c r="EB23" s="78" t="e">
        <f>ROUND((CX23*I22/DS23*100/2+EA23)/AM23,1)</f>
        <v>#DIV/0!</v>
      </c>
      <c r="EC23" s="78" t="e">
        <f t="shared" si="43"/>
        <v>#DIV/0!</v>
      </c>
      <c r="ED23" s="78" t="e">
        <f>ROUND((CY23*I22/DS23*100/2+EA23)/AM23,1)</f>
        <v>#VALUE!</v>
      </c>
      <c r="EE23" s="78" t="e">
        <f t="shared" si="44"/>
        <v>#VALUE!</v>
      </c>
      <c r="EF23" s="78"/>
      <c r="EG23" s="78"/>
      <c r="EH23" s="78"/>
      <c r="EI23" s="78" t="str">
        <f>IF(M23=0,"",ROUND(CX23*I22/DS23*100/2/DJ23,2))</f>
        <v/>
      </c>
      <c r="EJ23" s="78" t="str">
        <f>IF(M23=0,"",ROUND(CY23*I22/DS23*100/2/DK23,2))</f>
        <v/>
      </c>
      <c r="EK23" s="63"/>
      <c r="EL23" s="63" t="e">
        <f>IF(AB23=0.8,VLOOKUP(ER23,$CR$395:$CS$439,2),IF(AB23=0.9,VLOOKUP(ER23,$CR$348:$CS$394,2),VLOOKUP(ER23,$CR$301:$CS$344,2)))</f>
        <v>#VALUE!</v>
      </c>
      <c r="EM23" s="63" t="e">
        <f>IF(AB23=0.8,VLOOKUP(ES23,$CT$395:$CU$439,2),IF(AB23=0.9,VLOOKUP(ES23,$CT$348:$CU$394,2),VLOOKUP(ES23,$CT$301:$CU$344,2)))</f>
        <v>#VALUE!</v>
      </c>
      <c r="EO23" s="63" t="e">
        <f>IF(AB23=0.8,VLOOKUP(EU23,$CR$395:$CS$439,2),IF(AB23=0.9,VLOOKUP(EU23,$CR$348:$CS$394,2),VLOOKUP(EU23,$CR$301:$CS$344,2)))</f>
        <v>#VALUE!</v>
      </c>
      <c r="EP23" s="63" t="e">
        <f>IF(AB23=0.8,VLOOKUP(EV23,$CT$395:$CU$439,2),IF(AB23=0.9,VLOOKUP(EV23,$CT$348:$CU$394,2),VLOOKUP(EV23,$CT$301:$CU$344,2)))</f>
        <v>#VALUE!</v>
      </c>
      <c r="EQ23" s="155" t="e">
        <f t="shared" si="45"/>
        <v>#VALUE!</v>
      </c>
      <c r="ER23" s="78" t="e">
        <f>ROUNDUP($CX23*POWER($DV23,2)/8/$DH23,1)</f>
        <v>#VALUE!</v>
      </c>
      <c r="ES23" s="78" t="e">
        <f>ROUNDUP(5*$CX23*POWER($I22/$DS23*100,4)/(384*VLOOKUP(VALUE(RIGHT($J22,4)),許容応力!$B$6:$K$22,10)*100*$DO23),2)</f>
        <v>#VALUE!</v>
      </c>
      <c r="ET23" s="78"/>
      <c r="EU23" s="78" t="e">
        <f>ROUNDUP($CY23*POWER($I22/$DS23*100,2)/8/$DI23,1)</f>
        <v>#VALUE!</v>
      </c>
      <c r="EV23" s="78" t="e">
        <f>ROUNDUP(5*$CY23*POWER($I22/$DS23*100,4)/(384*VLOOKUP(VALUE(RIGHT($J22,4)),許容応力!$B$6:$K$22,10)*100*$DU23),2)</f>
        <v>#VALUE!</v>
      </c>
      <c r="EW23" s="63"/>
      <c r="EX23" s="63"/>
      <c r="EY23" s="63"/>
      <c r="EZ23" s="63"/>
      <c r="FA23" s="63"/>
      <c r="FB23" s="63"/>
      <c r="FC23" s="57"/>
      <c r="FD23" s="57"/>
      <c r="FE23" s="57"/>
      <c r="FF23" s="57"/>
      <c r="FG23" s="57"/>
      <c r="FH23" s="57"/>
      <c r="FI23" s="57"/>
    </row>
    <row r="24" spans="2:165" ht="15.95" customHeight="1" thickBot="1" x14ac:dyDescent="0.2">
      <c r="B24" s="1585"/>
      <c r="C24" s="1163" t="s">
        <v>812</v>
      </c>
      <c r="D24" s="331"/>
      <c r="E24" s="1357"/>
      <c r="F24" s="1165" t="str">
        <f>IF(E24=0,"",ROUND(SQRT(COS(DR24*1.5*PI()/180)),3))</f>
        <v/>
      </c>
      <c r="G24" s="1359"/>
      <c r="H24" s="1359"/>
      <c r="I24" s="1516"/>
      <c r="J24" s="1521"/>
      <c r="K24" s="1116"/>
      <c r="L24" s="196">
        <f>+IF(K24=0,0,"×")</f>
        <v>0</v>
      </c>
      <c r="M24" s="241">
        <f>IF(K24=0,0,+EQ24)</f>
        <v>0</v>
      </c>
      <c r="N24" s="242" t="str">
        <f t="shared" si="0"/>
        <v/>
      </c>
      <c r="O24" s="1520">
        <f t="shared" ref="O24" si="46">IF(Z24=0,0,IF(AND(U24=0,X24=0),0,IF(IF(AE24&gt;=AH24,AE24,AH24)&lt;=1,"OK!","NO!")))</f>
        <v>0</v>
      </c>
      <c r="P24" s="1478"/>
      <c r="Q24" s="1572"/>
      <c r="R24" s="1572"/>
      <c r="S24" s="1616">
        <f t="shared" ref="S24" si="47">+IF(R24=0,0,6)</f>
        <v>0</v>
      </c>
      <c r="T24" s="1572"/>
      <c r="U24" s="1572"/>
      <c r="V24" s="196" t="str">
        <f>+Q$185</f>
        <v/>
      </c>
      <c r="W24" s="1321">
        <f>IF(U24=0,0,+VLOOKUP(V24,$I$204:$J$209,2))</f>
        <v>0</v>
      </c>
      <c r="X24" s="1496"/>
      <c r="Y24" s="1311">
        <f>IF(X24=0,0,+CS24)</f>
        <v>0</v>
      </c>
      <c r="Z24" s="1313">
        <f>IF(AND(R24=0,X24=0),0,+IF(AND(VALUE(RIGHT(P24,4))=2,R24&gt;0),0,IF(AND(VALUE(RIGHT(P24,4))=1,X24&gt;0),0,CM24)))</f>
        <v>0</v>
      </c>
      <c r="AA24" s="1314">
        <f>IF(X24=0,0,IF(EI24&gt;=EJ24,EI24,EJ24))</f>
        <v>0</v>
      </c>
      <c r="AB24" s="1121"/>
      <c r="AC24" s="201" t="str">
        <f t="shared" si="1"/>
        <v/>
      </c>
      <c r="AD24" s="201" t="str">
        <f t="shared" si="2"/>
        <v/>
      </c>
      <c r="AE24" s="1314">
        <f>IF(F24=+"",0,IF(AND(U24=0,X24=0),0,IF(X24=0,ROUND(DB24/(DJ24*$CP$4*W24),2),ROUND(DB24/DJ24,2))))</f>
        <v>0</v>
      </c>
      <c r="AF24" s="201" t="str">
        <f t="shared" si="3"/>
        <v/>
      </c>
      <c r="AG24" s="201" t="str">
        <f t="shared" si="4"/>
        <v/>
      </c>
      <c r="AH24" s="1314">
        <f>IF(F24=+"",0,IF(AND(U24=0,X24=0),0,IF(X24=0,ROUND(DE24/(DK24*$CP$4*W24),2),ROUND(DE24/DK24,2))))</f>
        <v>0</v>
      </c>
      <c r="AI24" s="818"/>
      <c r="AJ24" s="811"/>
      <c r="AK24" s="823"/>
      <c r="AL24" s="812"/>
      <c r="AM24" s="1300">
        <f>IF(AI24=0,0,ROUND(AI24*AJ24+AK24*AL24+AI25*AJ25+AK25*AL25,2))</f>
        <v>0</v>
      </c>
      <c r="AN24" s="1300">
        <f t="shared" ref="AN24" si="48">IF(AJ24=0,0,IF(CO24=1,CN24/($CP$4*W24),CN24))</f>
        <v>0</v>
      </c>
      <c r="AO24" s="1302" t="str">
        <f t="shared" ref="AO24" si="49">IF(AN24=0,"",IF(AN24&lt;=1,"OK!","NO!"))</f>
        <v/>
      </c>
      <c r="AP24" s="182">
        <f>+IF(I24=0,0,"1/")</f>
        <v>0</v>
      </c>
      <c r="AQ24" s="183">
        <f>IF(I24=0,0,+DN24)</f>
        <v>0</v>
      </c>
      <c r="AR24" s="23"/>
      <c r="AS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1313">
        <f>IF(AND(U24=0,X24=0),0,IF(U24&gt;0,Q$196/100*$CP$4*W24,ROUND(POWER(X24*Y24,2)/(K24/10*M24/10),2)))</f>
        <v>0</v>
      </c>
      <c r="CN24" s="1304" t="str">
        <f>IF($AJ24=0,"",IF($EC24&gt;=$EE24,$EC24,$EE24))</f>
        <v/>
      </c>
      <c r="CO24" s="552">
        <f>IF(P24=0,0,+VALUE(RIGHT(P24,4)))</f>
        <v>0</v>
      </c>
      <c r="CP24" s="91" t="e">
        <f>ROUNDUP(CX24*I24/DS24*100/2/DL24,2)</f>
        <v>#VALUE!</v>
      </c>
      <c r="CQ24" s="91" t="e">
        <f>ROUNDUP(CY24*I24/DS24*100/2/DM24,2)</f>
        <v>#VALUE!</v>
      </c>
      <c r="CR24" s="91" t="e">
        <f t="shared" si="40"/>
        <v>#VALUE!</v>
      </c>
      <c r="CS24" s="9">
        <f>IF(M24=0,0,ROUNDUP(SQRT((AA24*K24/10*M24/10)/(X24*X24)),2))</f>
        <v>0</v>
      </c>
      <c r="CT24" s="87"/>
      <c r="CU24" s="87">
        <f t="shared" si="41"/>
        <v>0</v>
      </c>
      <c r="CV24" s="87" t="e">
        <f>ROUNDUP(IF(VALUE(RIGHT($G$3,4))=1,$I$3*30*F24*100,$I$3*20*F24*100),0)</f>
        <v>#VALUE!</v>
      </c>
      <c r="CW24" s="87"/>
      <c r="CX24" s="87">
        <f>ROUNDUP((準備!$G$57/100/DS24+IF(AND(VALUE(RIGHT($G$3,4))=1,$T$3=2),CU24/100*1.2,CU24/100))*(G24+H24)/2,2)</f>
        <v>0</v>
      </c>
      <c r="CY24" s="87" t="e">
        <f>ROUNDUP((準備!$G$57/100/DS24+IF(AND(VALUE(RIGHT($G$3,4))=1,$T$3=2),CV24/100*1.2,CV24/100))*(G24+H24)/2,2)</f>
        <v>#VALUE!</v>
      </c>
      <c r="CZ24" s="87" t="e">
        <f>ROUNDUP($CX24*POWER($DV24,2)/8/$DF24,1)</f>
        <v>#DIV/0!</v>
      </c>
      <c r="DA24" s="87" t="e">
        <f>ROUNDUP(5*$CX24*POWER($I24/$DS24*100,4)/(384*VLOOKUP(VALUE(RIGHT($J24,4)),許容応力!$B$6:$K$22,10)*100*$DG24),2)</f>
        <v>#VALUE!</v>
      </c>
      <c r="DB24" s="87" t="e">
        <f>ROUND(CX24*I24/DS24*100/2/Z24,1)</f>
        <v>#DIV/0!</v>
      </c>
      <c r="DC24" s="87" t="e">
        <f>ROUNDUP($CY24*POWER($I24/$DS24*100,2)/8/$DF24,1)</f>
        <v>#VALUE!</v>
      </c>
      <c r="DD24" s="87" t="e">
        <f>ROUNDUP(5*$CY24*POWER($I24/$DS24*100,4)/(384*VLOOKUP(VALUE(RIGHT($J24,4)),許容応力!$B$6:$K$22,10)*100*$DG24),2)</f>
        <v>#VALUE!</v>
      </c>
      <c r="DE24" s="87" t="e">
        <f>ROUND(CY24*I24/DS24*100/2/Z24,1)</f>
        <v>#VALUE!</v>
      </c>
      <c r="DF24" s="87">
        <f>ROUNDDOWN($K24/10*POWER($M24/10,2)/6*IF(OR($AB24=0,$AB24=1),1,$AB24),0)</f>
        <v>0</v>
      </c>
      <c r="DG24" s="87">
        <f>ROUNDDOWN($K24/10*POWER($M24/10,3)/12*IF(OR($AB24=0,$AB24=1),1,$AB24),0)</f>
        <v>0</v>
      </c>
      <c r="DH24" s="10" t="e">
        <f>IF($DN$6=2,ROUND(VLOOKUP(DQ24,許容応力!$B$6:$K$22,7)*1.1/3*100,0),ROUND(VLOOKUP(DQ24,許容応力!$B$6:$K$22,7)*1.1/3*1.3*100,0))</f>
        <v>#VALUE!</v>
      </c>
      <c r="DI24" s="87" t="e">
        <f>ROUND(VLOOKUP(DQ24,許容応力!$B$6:$K$22,7)*100*2/3*0.8,0)</f>
        <v>#VALUE!</v>
      </c>
      <c r="DJ24" s="10" t="e">
        <f>IF($DN$6=2,ROUND(VLOOKUP(DQ24,許容応力!$B$6:$K$22,8)*1.1/3*100,0),ROUND(VLOOKUP(DQ24,許容応力!$B$6:$K$22,8)*1.1/3*1.3*100,0))</f>
        <v>#VALUE!</v>
      </c>
      <c r="DK24" s="87" t="e">
        <f>ROUND(VLOOKUP(DQ24,許容応力!$B$6:$K$22,8)*100*2/3*0.8,0)</f>
        <v>#VALUE!</v>
      </c>
      <c r="DL24" s="10" t="e">
        <f>IF($DN$6=2,ROUND(VLOOKUP(DQ24,許容応力!$B$6:$K$22,9)*1.1/3*100,0),ROUND(VLOOKUP(DQ24,許容応力!$B$6:$K$22,9)*1.1/3*1.3*100,0))</f>
        <v>#VALUE!</v>
      </c>
      <c r="DM24" s="87" t="e">
        <f>ROUND(VLOOKUP(DQ24,許容応力!$B$6:$K$22,9)*100*2/3*0.8,0)</f>
        <v>#VALUE!</v>
      </c>
      <c r="DN24" s="87">
        <f t="shared" si="7"/>
        <v>200</v>
      </c>
      <c r="DO24" s="87">
        <f>ROUND(I24/DS24*100/DN24,2)</f>
        <v>0</v>
      </c>
      <c r="DP24" s="87"/>
      <c r="DQ24" s="87" t="e">
        <f>+VALUE(RIGHT(J24,3))</f>
        <v>#VALUE!</v>
      </c>
      <c r="DR24" s="89">
        <f>ROUND(ATAN(E24/10)*180/PI(),4)</f>
        <v>0</v>
      </c>
      <c r="DS24" s="90">
        <f t="shared" si="42"/>
        <v>1</v>
      </c>
      <c r="DT24" s="87">
        <f>VLOOKUP(VALUE(RIGHT(C24,4)),$C$632:$F$641,4)</f>
        <v>200</v>
      </c>
      <c r="DU24" s="87">
        <f>ROUND(I24/DS24*100/DT24,2)</f>
        <v>0</v>
      </c>
      <c r="DV24" s="87">
        <f>ROUND(I24/DS24*100,0)</f>
        <v>0</v>
      </c>
      <c r="DW24" s="87"/>
      <c r="DX24" s="87" t="e">
        <f>ROUNDUP((準備!$F$60/100+準備!$E$48/100)*($G24+$H24)/2,2)</f>
        <v>#N/A</v>
      </c>
      <c r="DY24" s="87"/>
      <c r="DZ24" s="87"/>
      <c r="EA24" s="87"/>
      <c r="EB24" s="87" t="e">
        <f>ROUND(CX24*I24/DS24*100/2/AM24,1)</f>
        <v>#DIV/0!</v>
      </c>
      <c r="EC24" s="87" t="e">
        <f t="shared" si="43"/>
        <v>#DIV/0!</v>
      </c>
      <c r="ED24" s="87" t="e">
        <f>ROUND(CY24*I24/DS24*100/2/AM24,1)</f>
        <v>#VALUE!</v>
      </c>
      <c r="EE24" s="87" t="e">
        <f t="shared" si="44"/>
        <v>#VALUE!</v>
      </c>
      <c r="EF24" s="87"/>
      <c r="EG24" s="87"/>
      <c r="EH24" s="87"/>
      <c r="EI24" s="87" t="str">
        <f>IF(M24=0,"",ROUND(CX24*I24/DS24*100/2/DJ24,2))</f>
        <v/>
      </c>
      <c r="EJ24" s="87" t="str">
        <f>IF(M24=0,"",ROUND(CY24*I24/DS24*100/2/DK24,2))</f>
        <v/>
      </c>
      <c r="EK24" s="63"/>
      <c r="EL24" s="63" t="e">
        <f>ROUNDUP(ER24/3,-1)*3</f>
        <v>#VALUE!</v>
      </c>
      <c r="EM24" s="63" t="e">
        <f>ROUNDUP(ES24/3,-1)*3</f>
        <v>#VALUE!</v>
      </c>
      <c r="EO24" s="63" t="e">
        <f>ROUNDUP(EU24/3,-1)*3</f>
        <v>#VALUE!</v>
      </c>
      <c r="EP24" s="63" t="e">
        <f>ROUNDUP(EV24/3,-1)*3</f>
        <v>#VALUE!</v>
      </c>
      <c r="EQ24" s="155" t="e">
        <f t="shared" si="45"/>
        <v>#VALUE!</v>
      </c>
      <c r="ER24" s="87" t="e">
        <f>ROUNDUP(SQRT(EW24/($K24/10)*6/IF(OR($AB24=0,$AB24=1),1,$AB24))*10,0)</f>
        <v>#VALUE!</v>
      </c>
      <c r="ES24" s="87" t="e">
        <f>POWER(ROUND(EX24/($K24/10)*12/IF(OR($AB24=0,$AB24=1),1,$AB24),0),1/3)*10</f>
        <v>#VALUE!</v>
      </c>
      <c r="EU24" s="87" t="e">
        <f>ROUNDUP(SQRT(EZ24/($K24/10)*6/IF(OR($AB24=0,$AB24=1),1,$AB24))*10,0)</f>
        <v>#VALUE!</v>
      </c>
      <c r="EV24" s="87" t="e">
        <f>POWER(ROUND(FA24/($K24/10)*12/IF(OR($AB24=0,$AB24=1),1,$AB24),0),1/3)*10</f>
        <v>#VALUE!</v>
      </c>
      <c r="EW24" s="87" t="e">
        <f>ROUNDUP($CX24*POWER($DV24,2)/8/DH24,1)</f>
        <v>#VALUE!</v>
      </c>
      <c r="EX24" s="87" t="e">
        <f>ROUNDUP(5*$CX24*POWER($I24/$DS24*100,4)/(384*VLOOKUP(VALUE(RIGHT($J24,4)),許容応力!$B$6:$K$22,10)*100*$DO24),2)</f>
        <v>#VALUE!</v>
      </c>
      <c r="EY24" s="87"/>
      <c r="EZ24" s="87" t="e">
        <f>ROUNDUP($CY24*POWER($I24/$DS24*100,2)/8/DI24,1)</f>
        <v>#VALUE!</v>
      </c>
      <c r="FA24" s="87" t="e">
        <f>ROUNDUP(5*$CY24*POWER($I24/$DS24*100,4)/(384*VLOOKUP(VALUE(RIGHT($J24,4)),許容応力!$B$6:$K$22,10)*100*$DU24),2)</f>
        <v>#VALUE!</v>
      </c>
      <c r="FB24" s="63"/>
      <c r="FC24" s="57"/>
      <c r="FD24" s="57"/>
      <c r="FE24" s="57"/>
      <c r="FF24" s="57"/>
      <c r="FG24" s="57"/>
      <c r="FH24" s="57"/>
      <c r="FI24" s="57"/>
    </row>
    <row r="25" spans="2:165" ht="15.95" customHeight="1" thickBot="1" x14ac:dyDescent="0.2">
      <c r="B25" s="1585"/>
      <c r="C25" s="1163"/>
      <c r="D25" s="330"/>
      <c r="E25" s="1357"/>
      <c r="F25" s="1166"/>
      <c r="G25" s="1359"/>
      <c r="H25" s="1359"/>
      <c r="I25" s="1359"/>
      <c r="J25" s="1521"/>
      <c r="K25" s="1193">
        <f>+IF(J24=0,0,"丸太末口 φ")</f>
        <v>0</v>
      </c>
      <c r="L25" s="1194"/>
      <c r="M25" s="239">
        <f>IF(J24=0,0,+EQ25)</f>
        <v>0</v>
      </c>
      <c r="N25" s="240" t="str">
        <f t="shared" si="0"/>
        <v/>
      </c>
      <c r="O25" s="1519"/>
      <c r="P25" s="1478"/>
      <c r="Q25" s="1572"/>
      <c r="R25" s="1572"/>
      <c r="S25" s="1617"/>
      <c r="T25" s="1572"/>
      <c r="U25" s="1572"/>
      <c r="V25" s="1019" t="str">
        <f>+Q$184</f>
        <v/>
      </c>
      <c r="W25" s="1321"/>
      <c r="X25" s="1497"/>
      <c r="Y25" s="1312"/>
      <c r="Z25" s="1312"/>
      <c r="AA25" s="1254"/>
      <c r="AB25" s="1120"/>
      <c r="AC25" s="206" t="str">
        <f t="shared" si="1"/>
        <v/>
      </c>
      <c r="AD25" s="206" t="str">
        <f t="shared" si="2"/>
        <v/>
      </c>
      <c r="AE25" s="1254"/>
      <c r="AF25" s="206" t="str">
        <f t="shared" si="3"/>
        <v/>
      </c>
      <c r="AG25" s="206" t="str">
        <f t="shared" si="4"/>
        <v/>
      </c>
      <c r="AH25" s="1470"/>
      <c r="AI25" s="817"/>
      <c r="AJ25" s="809"/>
      <c r="AK25" s="822"/>
      <c r="AL25" s="810"/>
      <c r="AM25" s="1301"/>
      <c r="AN25" s="1301"/>
      <c r="AO25" s="1303"/>
      <c r="AP25" s="184">
        <f>+IF(I24=0,0,"1/")</f>
        <v>0</v>
      </c>
      <c r="AQ25" s="185">
        <f>IF(I24=0,0,+DN25)</f>
        <v>0</v>
      </c>
      <c r="AR25" s="23"/>
      <c r="AS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1312"/>
      <c r="CN25" s="1301"/>
      <c r="CO25" s="548"/>
      <c r="CP25" s="9" t="e">
        <f>ROUNDUP(CX25*I24/DS25*100/2/DL25,2)</f>
        <v>#VALUE!</v>
      </c>
      <c r="CQ25" s="9" t="e">
        <f>ROUNDUP(CY25*I24/DS25*100/2/DM25,2)</f>
        <v>#VALUE!</v>
      </c>
      <c r="CR25" s="9" t="e">
        <f t="shared" si="40"/>
        <v>#VALUE!</v>
      </c>
      <c r="CS25" s="9">
        <f>IF(M25=0,0,ROUNDUP(SQRT(AA25*(M25/10-6)*(M25/10-3))/(X25*X25),2))</f>
        <v>0</v>
      </c>
      <c r="CT25" s="78"/>
      <c r="CU25" s="78">
        <f t="shared" si="41"/>
        <v>0</v>
      </c>
      <c r="CV25" s="78" t="e">
        <f>ROUNDUP(IF(VALUE(RIGHT($G$3,4))=1,$I$3*30*F24*100,$I$3*20*F24*100),0)</f>
        <v>#VALUE!</v>
      </c>
      <c r="CW25" s="78"/>
      <c r="CX25" s="78">
        <f>ROUNDUP((準備!$G$57/100/DS25+IF(AND(VALUE(RIGHT($G$3,4))=1,$T$3=2),CU25/100*1.2,CU25/100))*(G24+H24)/2,2)</f>
        <v>0</v>
      </c>
      <c r="CY25" s="78" t="e">
        <f>ROUNDUP((準備!$G$57/100/DS25+IF(AND(VALUE(RIGHT($G$3,4))=1,$T$3=2),CV25/100*1.2,CV25/100))*(G24+H24)/2,2)</f>
        <v>#VALUE!</v>
      </c>
      <c r="CZ25" s="78">
        <f>IF(K25=0,0,ROUNDUP($CX25*POWER($DV25,2)/8/$DF25,1))</f>
        <v>0</v>
      </c>
      <c r="DA25" s="63">
        <f>IF($K25=0,0,ROUNDUP(5*$CX25*POWER($I24*100,4)/(384*VLOOKUP(VALUE(RIGHT($J24,4)),許容応力!$L$6:$U$22,10)*100*$DG25),2))</f>
        <v>0</v>
      </c>
      <c r="DB25" s="78" t="e">
        <f>ROUND((CX25*I24/DS25*100/2+EA25)/Z25,1)</f>
        <v>#DIV/0!</v>
      </c>
      <c r="DC25" s="78" t="e">
        <f>ROUNDUP($CY25*POWER($I24/$DS25*100,2)/8/$DF25,1)</f>
        <v>#VALUE!</v>
      </c>
      <c r="DD25" s="63" t="e">
        <f>ROUNDUP(5*$CY25*POWER($I24*100,4)/(384*VLOOKUP(VALUE(RIGHT($J24,4)),許容応力!$L$6:$U$22,10)*100*$DG25),2)</f>
        <v>#VALUE!</v>
      </c>
      <c r="DE25" s="78" t="e">
        <f>ROUND((CY25*I24/DS25*100/2+EA25)/Z25,1)</f>
        <v>#VALUE!</v>
      </c>
      <c r="DF25" s="63">
        <f>IF(M25&lt;180,ROUND((M25/10-3)*POWER(M25/10-3,2)/6*IF(AB25=0,1,AB25),0),ROUND((M25/10-5)*POWER(M25/10-3,2)/6*IF($AB25=0,1,$AB25),0))</f>
        <v>-5</v>
      </c>
      <c r="DG25" s="63">
        <f>ROUND(IF(M25&lt;180,(M25/10-3)*POWER((M25/10-3),3)/12*IF(AB25=0,1,AB25),(M25/10-5))*POWER((M25/10-3),3)/12*IF(AB25=0,1,AB25),0)</f>
        <v>-15</v>
      </c>
      <c r="DH25" s="10" t="e">
        <f>IF($DN$6=2,ROUND(VLOOKUP(DQ25,許容応力!$L$6:$U$22,7)*1.1/3*100,0),ROUND(VLOOKUP(DQ25,許容応力!$L$6:$U$22,7)*1.1/3*1.3*100,0))</f>
        <v>#VALUE!</v>
      </c>
      <c r="DI25" s="63" t="e">
        <f>ROUND(VLOOKUP(DQ25,許容応力!$L$6:$U$22,7)*100*2/3*0.8,0)</f>
        <v>#VALUE!</v>
      </c>
      <c r="DJ25" s="10" t="e">
        <f>IF($DN$6=2,ROUND(VLOOKUP(DQ25,許容応力!$L$6:$U$22,8)*1.1/3*100,0),ROUND(VLOOKUP(DQ25,許容応力!$L$6:$U$22,8)*1.1/3*1.3*100,0))</f>
        <v>#VALUE!</v>
      </c>
      <c r="DK25" s="63" t="e">
        <f>ROUND(VLOOKUP(DQ25,許容応力!$L$6:$U$22,8)*100*2/3*0.8,0)</f>
        <v>#VALUE!</v>
      </c>
      <c r="DL25" s="10" t="e">
        <f>IF($DN$6=2,ROUND(VLOOKUP(DQ25,許容応力!$L$6:$U$22,9)*1.1/3*100,0),ROUND(VLOOKUP(DQ25,許容応力!$L$6:$U$22,9)*1.1/3*1.3*100,0))</f>
        <v>#VALUE!</v>
      </c>
      <c r="DM25" s="63" t="e">
        <f>ROUND(VLOOKUP(DQ25,許容応力!$L$6:$U$22,9)*100*2/3*0.8,0)</f>
        <v>#VALUE!</v>
      </c>
      <c r="DN25" s="78">
        <f t="shared" si="7"/>
        <v>200</v>
      </c>
      <c r="DO25" s="78">
        <f>ROUND(I24/DS25*100/DN25,2)</f>
        <v>0</v>
      </c>
      <c r="DP25" s="78"/>
      <c r="DQ25" s="78" t="e">
        <f>+VALUE(RIGHT(J24,3))</f>
        <v>#VALUE!</v>
      </c>
      <c r="DR25" s="92">
        <f>ROUND(ATAN(E24/10)*180/PI(),4)</f>
        <v>0</v>
      </c>
      <c r="DS25" s="80">
        <f t="shared" si="42"/>
        <v>1</v>
      </c>
      <c r="DT25" s="78">
        <f>VLOOKUP(VALUE(RIGHT(C24,4)),$C$632:$F$641,4)</f>
        <v>200</v>
      </c>
      <c r="DU25" s="78">
        <f>ROUND(I24/DS25*100/DT25,2)</f>
        <v>0</v>
      </c>
      <c r="DV25" s="78">
        <f>ROUND(I24/DS25*100,0)</f>
        <v>0</v>
      </c>
      <c r="DW25" s="78"/>
      <c r="DX25" s="78" t="e">
        <f>ROUNDUP((準備!$F$60/100+準備!$E$48/100)*($G24+$H24)/2,2)</f>
        <v>#N/A</v>
      </c>
      <c r="DY25" s="71">
        <f>IF(I24&lt;6,POWER(M25/10,2)*I24/10000,POWER((M25/10+(ROUNDDOWN(I24,0)-4)/2),2)*I24/10000)</f>
        <v>0</v>
      </c>
      <c r="DZ25" s="78">
        <v>200</v>
      </c>
      <c r="EA25" s="93">
        <f>ROUND(DY25*DZ25/100,0)</f>
        <v>0</v>
      </c>
      <c r="EB25" s="78" t="e">
        <f>ROUND((CX25*I24/DS25*100/2+EA25)/AM25,1)</f>
        <v>#DIV/0!</v>
      </c>
      <c r="EC25" s="78" t="e">
        <f t="shared" si="43"/>
        <v>#DIV/0!</v>
      </c>
      <c r="ED25" s="78" t="e">
        <f>ROUND((CY25*I24/DS25*100/2+EA25)/AM25,1)</f>
        <v>#VALUE!</v>
      </c>
      <c r="EE25" s="78" t="e">
        <f t="shared" si="44"/>
        <v>#VALUE!</v>
      </c>
      <c r="EF25" s="78"/>
      <c r="EG25" s="78"/>
      <c r="EH25" s="78"/>
      <c r="EI25" s="78" t="str">
        <f>IF(M25=0,"",ROUND(CX25*I24/DS25*100/2/DJ25,2))</f>
        <v/>
      </c>
      <c r="EJ25" s="78" t="str">
        <f>IF(M25=0,"",ROUND(CY25*I24/DS25*100/2/DK25,2))</f>
        <v/>
      </c>
      <c r="EK25" s="63"/>
      <c r="EL25" s="63" t="e">
        <f>IF(AB25=0.8,VLOOKUP(ER25,$CR$395:$CS$439,2),IF(AB25=0.9,VLOOKUP(ER25,$CR$348:$CS$394,2),VLOOKUP(ER25,$CR$301:$CS$344,2)))</f>
        <v>#VALUE!</v>
      </c>
      <c r="EM25" s="63" t="e">
        <f>IF(AB25=0.8,VLOOKUP(ES25,$CT$395:$CU$439,2),IF(AB25=0.9,VLOOKUP(ES25,$CT$348:$CU$394,2),VLOOKUP(ES25,$CT$301:$CU$344,2)))</f>
        <v>#VALUE!</v>
      </c>
      <c r="EO25" s="63" t="e">
        <f>IF(AB25=0.8,VLOOKUP(EU25,$CR$395:$CS$439,2),IF(AB25=0.9,VLOOKUP(EU25,$CR$348:$CS$394,2),VLOOKUP(EU25,$CR$301:$CS$344,2)))</f>
        <v>#VALUE!</v>
      </c>
      <c r="EP25" s="63" t="e">
        <f>IF(AB25=0.8,VLOOKUP(EV25,$CT$395:$CU$439,2),IF(AB25=0.9,VLOOKUP(EV25,$CT$348:$CU$394,2),VLOOKUP(EV25,$CT$301:$CU$344,2)))</f>
        <v>#VALUE!</v>
      </c>
      <c r="EQ25" s="155" t="e">
        <f t="shared" si="45"/>
        <v>#VALUE!</v>
      </c>
      <c r="ER25" s="78" t="e">
        <f>ROUNDUP($CX25*POWER($DV25,2)/8/$DH25,1)</f>
        <v>#VALUE!</v>
      </c>
      <c r="ES25" s="78" t="e">
        <f>ROUNDUP(5*$CX25*POWER($I24/$DS25*100,4)/(384*VLOOKUP(VALUE(RIGHT($J24,4)),許容応力!$B$6:$K$22,10)*100*$DO25),2)</f>
        <v>#VALUE!</v>
      </c>
      <c r="ET25" s="78"/>
      <c r="EU25" s="78" t="e">
        <f>ROUNDUP($CY25*POWER($I24/$DS25*100,2)/8/$DI25,1)</f>
        <v>#VALUE!</v>
      </c>
      <c r="EV25" s="78" t="e">
        <f>ROUNDUP(5*$CY25*POWER($I24/$DS25*100,4)/(384*VLOOKUP(VALUE(RIGHT($J24,4)),許容応力!$B$6:$K$22,10)*100*$DU25),2)</f>
        <v>#VALUE!</v>
      </c>
      <c r="EW25" s="63"/>
      <c r="EX25" s="63"/>
      <c r="EY25" s="63"/>
      <c r="EZ25" s="63"/>
      <c r="FA25" s="63"/>
      <c r="FB25" s="63"/>
      <c r="FC25" s="57"/>
      <c r="FD25" s="57"/>
      <c r="FE25" s="57"/>
      <c r="FF25" s="57"/>
      <c r="FG25" s="57"/>
      <c r="FH25" s="57"/>
      <c r="FI25" s="57"/>
    </row>
    <row r="26" spans="2:165" ht="15.95" customHeight="1" thickBot="1" x14ac:dyDescent="0.2">
      <c r="B26" s="1585"/>
      <c r="C26" s="1163" t="s">
        <v>813</v>
      </c>
      <c r="D26" s="331"/>
      <c r="E26" s="1357"/>
      <c r="F26" s="1165" t="str">
        <f>IF(E26=0,"",ROUND(SQRT(COS(DR26*1.5*PI()/180)),3))</f>
        <v/>
      </c>
      <c r="G26" s="1359"/>
      <c r="H26" s="1359"/>
      <c r="I26" s="1516"/>
      <c r="J26" s="1521"/>
      <c r="K26" s="1116"/>
      <c r="L26" s="196">
        <f>+IF(K26=0,0,"×")</f>
        <v>0</v>
      </c>
      <c r="M26" s="241">
        <f>IF(K26=0,0,+EQ26)</f>
        <v>0</v>
      </c>
      <c r="N26" s="242" t="str">
        <f t="shared" si="0"/>
        <v/>
      </c>
      <c r="O26" s="1520">
        <f t="shared" ref="O26" si="50">IF(Z26=0,0,IF(AND(U26=0,X26=0),0,IF(IF(AE26&gt;=AH26,AE26,AH26)&lt;=1,"OK!","NO!")))</f>
        <v>0</v>
      </c>
      <c r="P26" s="1478"/>
      <c r="Q26" s="1572"/>
      <c r="R26" s="1572"/>
      <c r="S26" s="1616">
        <f t="shared" ref="S26" si="51">+IF(R26=0,0,6)</f>
        <v>0</v>
      </c>
      <c r="T26" s="1572"/>
      <c r="U26" s="1572"/>
      <c r="V26" s="196" t="str">
        <f>+R$185</f>
        <v/>
      </c>
      <c r="W26" s="1321">
        <f>IF(U26=0,0,+VLOOKUP(V26,$I$204:$J$209,2))</f>
        <v>0</v>
      </c>
      <c r="X26" s="1496"/>
      <c r="Y26" s="1311">
        <f>IF(X26=0,0,+CS26)</f>
        <v>0</v>
      </c>
      <c r="Z26" s="1313">
        <f>IF(AND(R26=0,X26=0),0,+IF(AND(VALUE(RIGHT(P26,4))=2,R26&gt;0),0,IF(AND(VALUE(RIGHT(P26,4))=1,X26&gt;0),0,CM26)))</f>
        <v>0</v>
      </c>
      <c r="AA26" s="1314">
        <f>IF(X26=0,0,IF(EI26&gt;=EJ26,EI26,EJ26))</f>
        <v>0</v>
      </c>
      <c r="AB26" s="1121"/>
      <c r="AC26" s="201" t="str">
        <f t="shared" si="1"/>
        <v/>
      </c>
      <c r="AD26" s="201" t="str">
        <f t="shared" si="2"/>
        <v/>
      </c>
      <c r="AE26" s="1314">
        <f>IF(F26=+"",0,IF(AND(U26=0,X26=0),0,IF(X26=0,ROUND(DB26/(DJ26*$CP$4*W26),2),ROUND(DB26/DJ26,2))))</f>
        <v>0</v>
      </c>
      <c r="AF26" s="201" t="str">
        <f t="shared" si="3"/>
        <v/>
      </c>
      <c r="AG26" s="201" t="str">
        <f t="shared" si="4"/>
        <v/>
      </c>
      <c r="AH26" s="1314">
        <f>IF(F26=+"",0,IF(AND(U26=0,X26=0),0,IF(X26=0,ROUND(DE26/(DK26*$CP$4*W26),2),ROUND(DE26/DK26,2))))</f>
        <v>0</v>
      </c>
      <c r="AI26" s="818"/>
      <c r="AJ26" s="811"/>
      <c r="AK26" s="823"/>
      <c r="AL26" s="812"/>
      <c r="AM26" s="1300">
        <f>IF(AI26=0,0,ROUND(AI26*AJ26+AK26*AL26+AI27*AJ27+AK27*AL27,2))</f>
        <v>0</v>
      </c>
      <c r="AN26" s="1300">
        <f t="shared" ref="AN26" si="52">IF(AJ26=0,0,IF(CO26=1,CN26/($CP$4*W26),CN26))</f>
        <v>0</v>
      </c>
      <c r="AO26" s="1302" t="str">
        <f t="shared" ref="AO26" si="53">IF(AN26=0,"",IF(AN26&lt;=1,"OK!","NO!"))</f>
        <v/>
      </c>
      <c r="AP26" s="182">
        <f>+IF(I26=0,0,"1/")</f>
        <v>0</v>
      </c>
      <c r="AQ26" s="183">
        <f>IF(I26=0,0,+DN26)</f>
        <v>0</v>
      </c>
      <c r="AR26" s="23"/>
      <c r="AS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1313">
        <f>IF(AND(U26=0,X26=0),0,IF(U26&gt;0,R$196/100*$CP$4*W26,ROUND(POWER(X26*Y26,2)/(K26/10*M26/10),2)))</f>
        <v>0</v>
      </c>
      <c r="CN26" s="1304" t="str">
        <f>IF($AJ26=0,"",IF($EC26&gt;=$EE26,$EC26,$EE26))</f>
        <v/>
      </c>
      <c r="CO26" s="552">
        <f>IF(P26=0,0,+VALUE(RIGHT(P26,4)))</f>
        <v>0</v>
      </c>
      <c r="CP26" s="91" t="e">
        <f>ROUNDUP(CX26*I26/DS26*100/2/DL26,2)</f>
        <v>#VALUE!</v>
      </c>
      <c r="CQ26" s="91" t="e">
        <f>ROUNDUP(CY26*I26/DS26*100/2/DM26,2)</f>
        <v>#VALUE!</v>
      </c>
      <c r="CR26" s="91" t="e">
        <f t="shared" si="40"/>
        <v>#VALUE!</v>
      </c>
      <c r="CS26" s="9">
        <f>IF(M26=0,0,ROUNDUP(SQRT((AA26*K26/10*M26/10)/(X26*X26)),2))</f>
        <v>0</v>
      </c>
      <c r="CT26" s="87"/>
      <c r="CU26" s="87">
        <f t="shared" si="41"/>
        <v>0</v>
      </c>
      <c r="CV26" s="87" t="e">
        <f>ROUNDUP(IF(VALUE(RIGHT($G$3,4))=1,$I$3*30*F26*100,$I$3*20*F26*100),0)</f>
        <v>#VALUE!</v>
      </c>
      <c r="CW26" s="87"/>
      <c r="CX26" s="87">
        <f>ROUNDUP((準備!$G$57/100/DS26+IF(AND(VALUE(RIGHT($G$3,4))=1,$T$3=2),CU26/100*1.2,CU26/100))*(G26+H26)/2,2)</f>
        <v>0</v>
      </c>
      <c r="CY26" s="87" t="e">
        <f>ROUNDUP((準備!$G$57/100/DS26+IF(AND(VALUE(RIGHT($G$3,4))=1,$T$3=2),CV26/100*1.2,CV26/100))*(G26+H26)/2,2)</f>
        <v>#VALUE!</v>
      </c>
      <c r="CZ26" s="87" t="e">
        <f>ROUNDUP($CX26*POWER($DV26,2)/8/$DF26,1)</f>
        <v>#DIV/0!</v>
      </c>
      <c r="DA26" s="87" t="e">
        <f>ROUNDUP(5*$CX26*POWER($I26/$DS26*100,4)/(384*VLOOKUP(VALUE(RIGHT($J26,4)),許容応力!$B$6:$K$22,10)*100*$DG26),2)</f>
        <v>#VALUE!</v>
      </c>
      <c r="DB26" s="87" t="e">
        <f>ROUND(CX26*I26/DS26*100/2/Z26,1)</f>
        <v>#DIV/0!</v>
      </c>
      <c r="DC26" s="87" t="e">
        <f>ROUNDUP($CY26*POWER($I26/$DS26*100,2)/8/$DF26,1)</f>
        <v>#VALUE!</v>
      </c>
      <c r="DD26" s="87" t="e">
        <f>ROUNDUP(5*$CY26*POWER($I26/$DS26*100,4)/(384*VLOOKUP(VALUE(RIGHT($J26,4)),許容応力!$B$6:$K$22,10)*100*$DG26),2)</f>
        <v>#VALUE!</v>
      </c>
      <c r="DE26" s="87" t="e">
        <f>ROUND(CY26*I26/DS26*100/2/Z26,1)</f>
        <v>#VALUE!</v>
      </c>
      <c r="DF26" s="87">
        <f>ROUNDDOWN($K26/10*POWER($M26/10,2)/6*IF(OR($AB26=0,$AB26=1),1,$AB26),0)</f>
        <v>0</v>
      </c>
      <c r="DG26" s="87">
        <f>ROUNDDOWN($K26/10*POWER($M26/10,3)/12*IF(OR($AB26=0,$AB26=1),1,$AB26),0)</f>
        <v>0</v>
      </c>
      <c r="DH26" s="10" t="e">
        <f>IF($DN$6=2,ROUND(VLOOKUP(DQ26,許容応力!$B$6:$K$22,7)*1.1/3*100,0),ROUND(VLOOKUP(DQ26,許容応力!$B$6:$K$22,7)*1.1/3*1.3*100,0))</f>
        <v>#VALUE!</v>
      </c>
      <c r="DI26" s="87" t="e">
        <f>ROUND(VLOOKUP(DQ26,許容応力!$B$6:$K$22,7)*100*2/3*0.8,0)</f>
        <v>#VALUE!</v>
      </c>
      <c r="DJ26" s="10" t="e">
        <f>IF($DN$6=2,ROUND(VLOOKUP(DQ26,許容応力!$B$6:$K$22,8)*1.1/3*100,0),ROUND(VLOOKUP(DQ26,許容応力!$B$6:$K$22,8)*1.1/3*1.3*100,0))</f>
        <v>#VALUE!</v>
      </c>
      <c r="DK26" s="87" t="e">
        <f>ROUND(VLOOKUP(DQ26,許容応力!$B$6:$K$22,8)*100*2/3*0.8,0)</f>
        <v>#VALUE!</v>
      </c>
      <c r="DL26" s="10" t="e">
        <f>IF($DN$6=2,ROUND(VLOOKUP(DQ26,許容応力!$B$6:$K$22,9)*1.1/3*100,0),ROUND(VLOOKUP(DQ26,許容応力!$B$6:$K$22,9)*1.1/3*1.3*100,0))</f>
        <v>#VALUE!</v>
      </c>
      <c r="DM26" s="87" t="e">
        <f>ROUND(VLOOKUP(DQ26,許容応力!$B$6:$K$22,9)*100*2/3*0.8,0)</f>
        <v>#VALUE!</v>
      </c>
      <c r="DN26" s="87">
        <f t="shared" si="7"/>
        <v>200</v>
      </c>
      <c r="DO26" s="87">
        <f>ROUND(I26/DS26*100/DN26,2)</f>
        <v>0</v>
      </c>
      <c r="DP26" s="87"/>
      <c r="DQ26" s="87" t="e">
        <f>+VALUE(RIGHT(J26,3))</f>
        <v>#VALUE!</v>
      </c>
      <c r="DR26" s="89">
        <f>ROUND(ATAN(E26/10)*180/PI(),4)</f>
        <v>0</v>
      </c>
      <c r="DS26" s="90">
        <f t="shared" si="42"/>
        <v>1</v>
      </c>
      <c r="DT26" s="87">
        <f>VLOOKUP(VALUE(RIGHT(C26,4)),$C$632:$F$641,4)</f>
        <v>200</v>
      </c>
      <c r="DU26" s="87">
        <f>ROUND(I26/DS26*100/DT26,2)</f>
        <v>0</v>
      </c>
      <c r="DV26" s="87">
        <f>ROUND(I26/DS26*100,0)</f>
        <v>0</v>
      </c>
      <c r="DW26" s="87"/>
      <c r="DX26" s="87" t="e">
        <f>ROUNDUP((準備!$F$60/100+準備!$E$48/100)*($G26+$H26)/2,2)</f>
        <v>#N/A</v>
      </c>
      <c r="DY26" s="87"/>
      <c r="DZ26" s="87"/>
      <c r="EA26" s="87"/>
      <c r="EB26" s="87" t="e">
        <f>ROUND(CX26*I26/DS26*100/2/AM26,1)</f>
        <v>#DIV/0!</v>
      </c>
      <c r="EC26" s="87" t="e">
        <f t="shared" si="43"/>
        <v>#DIV/0!</v>
      </c>
      <c r="ED26" s="87" t="e">
        <f>ROUND(CY26*I26/DS26*100/2/AM26,1)</f>
        <v>#VALUE!</v>
      </c>
      <c r="EE26" s="87" t="e">
        <f t="shared" si="44"/>
        <v>#VALUE!</v>
      </c>
      <c r="EF26" s="87"/>
      <c r="EG26" s="87"/>
      <c r="EH26" s="87"/>
      <c r="EI26" s="87" t="str">
        <f>IF(M26=0,"",ROUND(CX26*I26/DS26*100/2/DJ26,2))</f>
        <v/>
      </c>
      <c r="EJ26" s="87" t="str">
        <f>IF(M26=0,"",ROUND(CY26*I26/DS26*100/2/DK26,2))</f>
        <v/>
      </c>
      <c r="EK26" s="63"/>
      <c r="EL26" s="63" t="e">
        <f>ROUNDUP(ER26/3,-1)*3</f>
        <v>#VALUE!</v>
      </c>
      <c r="EM26" s="63" t="e">
        <f>ROUNDUP(ES26/3,-1)*3</f>
        <v>#VALUE!</v>
      </c>
      <c r="EO26" s="63" t="e">
        <f>ROUNDUP(EU26/3,-1)*3</f>
        <v>#VALUE!</v>
      </c>
      <c r="EP26" s="63" t="e">
        <f>ROUNDUP(EV26/3,-1)*3</f>
        <v>#VALUE!</v>
      </c>
      <c r="EQ26" s="155" t="e">
        <f t="shared" si="45"/>
        <v>#VALUE!</v>
      </c>
      <c r="ER26" s="87" t="e">
        <f>ROUNDUP(SQRT(EW26/($K26/10)*6/IF(OR($AB26=0,$AB26=1),1,$AB26))*10,0)</f>
        <v>#VALUE!</v>
      </c>
      <c r="ES26" s="87" t="e">
        <f>POWER(ROUND(EX26/($K26/10)*12/IF(OR($AB26=0,$AB26=1),1,$AB26),0),1/3)*10</f>
        <v>#VALUE!</v>
      </c>
      <c r="EU26" s="87" t="e">
        <f>ROUNDUP(SQRT(EZ26/($K26/10)*6/IF(OR($AB26=0,$AB26=1),1,$AB26))*10,0)</f>
        <v>#VALUE!</v>
      </c>
      <c r="EV26" s="87" t="e">
        <f>POWER(ROUND(FA26/($K26/10)*12/IF(OR($AB26=0,$AB26=1),1,$AB26),0),1/3)*10</f>
        <v>#VALUE!</v>
      </c>
      <c r="EW26" s="87" t="e">
        <f>ROUNDUP($CX26*POWER($DV26,2)/8/DH26,1)</f>
        <v>#VALUE!</v>
      </c>
      <c r="EX26" s="87" t="e">
        <f>ROUNDUP(5*$CX26*POWER($I26/$DS26*100,4)/(384*VLOOKUP(VALUE(RIGHT($J26,4)),許容応力!$B$6:$K$22,10)*100*$DO26),2)</f>
        <v>#VALUE!</v>
      </c>
      <c r="EY26" s="87"/>
      <c r="EZ26" s="87" t="e">
        <f>ROUNDUP($CY26*POWER($I26/$DS26*100,2)/8/DI26,1)</f>
        <v>#VALUE!</v>
      </c>
      <c r="FA26" s="87" t="e">
        <f>ROUNDUP(5*$CY26*POWER($I26/$DS26*100,4)/(384*VLOOKUP(VALUE(RIGHT($J26,4)),許容応力!$B$6:$K$22,10)*100*$DU26),2)</f>
        <v>#VALUE!</v>
      </c>
      <c r="FB26" s="63"/>
      <c r="FC26" s="57"/>
      <c r="FD26" s="57"/>
      <c r="FE26" s="57"/>
      <c r="FF26" s="57"/>
      <c r="FG26" s="57"/>
      <c r="FH26" s="57"/>
      <c r="FI26" s="57"/>
    </row>
    <row r="27" spans="2:165" ht="15.95" customHeight="1" thickBot="1" x14ac:dyDescent="0.2">
      <c r="B27" s="1585"/>
      <c r="C27" s="1163"/>
      <c r="D27" s="330"/>
      <c r="E27" s="1357"/>
      <c r="F27" s="1166"/>
      <c r="G27" s="1359"/>
      <c r="H27" s="1359"/>
      <c r="I27" s="1359"/>
      <c r="J27" s="1521"/>
      <c r="K27" s="1193">
        <f>+IF(J26=0,0,"丸太末口 φ")</f>
        <v>0</v>
      </c>
      <c r="L27" s="1194"/>
      <c r="M27" s="239">
        <f>IF(J26=0,0,+EQ27)</f>
        <v>0</v>
      </c>
      <c r="N27" s="240" t="str">
        <f t="shared" si="0"/>
        <v/>
      </c>
      <c r="O27" s="1519"/>
      <c r="P27" s="1478"/>
      <c r="Q27" s="1572"/>
      <c r="R27" s="1572"/>
      <c r="S27" s="1617"/>
      <c r="T27" s="1572"/>
      <c r="U27" s="1572"/>
      <c r="V27" s="1019" t="str">
        <f>+R$184</f>
        <v/>
      </c>
      <c r="W27" s="1321"/>
      <c r="X27" s="1497"/>
      <c r="Y27" s="1312"/>
      <c r="Z27" s="1312"/>
      <c r="AA27" s="1254"/>
      <c r="AB27" s="1120"/>
      <c r="AC27" s="206" t="str">
        <f t="shared" si="1"/>
        <v/>
      </c>
      <c r="AD27" s="206" t="str">
        <f t="shared" si="2"/>
        <v/>
      </c>
      <c r="AE27" s="1254"/>
      <c r="AF27" s="206" t="str">
        <f t="shared" si="3"/>
        <v/>
      </c>
      <c r="AG27" s="206" t="str">
        <f t="shared" si="4"/>
        <v/>
      </c>
      <c r="AH27" s="1470"/>
      <c r="AI27" s="817"/>
      <c r="AJ27" s="809"/>
      <c r="AK27" s="822"/>
      <c r="AL27" s="810"/>
      <c r="AM27" s="1301"/>
      <c r="AN27" s="1301"/>
      <c r="AO27" s="1303"/>
      <c r="AP27" s="184">
        <f>+IF(I26=0,0,"1/")</f>
        <v>0</v>
      </c>
      <c r="AQ27" s="185">
        <f>IF(I26=0,0,+DN27)</f>
        <v>0</v>
      </c>
      <c r="AR27" s="23"/>
      <c r="AS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1312"/>
      <c r="CN27" s="1301"/>
      <c r="CO27" s="548"/>
      <c r="CP27" s="9" t="e">
        <f>ROUNDUP(CX27*I26/DS27*100/2/DL27,2)</f>
        <v>#VALUE!</v>
      </c>
      <c r="CQ27" s="9" t="e">
        <f>ROUNDUP(CY27*I26/DS27*100/2/DM27,2)</f>
        <v>#VALUE!</v>
      </c>
      <c r="CR27" s="9" t="e">
        <f t="shared" si="40"/>
        <v>#VALUE!</v>
      </c>
      <c r="CS27" s="9">
        <f>IF(M27=0,0,ROUNDUP(SQRT(AA27*(M27/10-6)*(M27/10-3))/(X27*X27),2))</f>
        <v>0</v>
      </c>
      <c r="CT27" s="78"/>
      <c r="CU27" s="78">
        <f t="shared" si="41"/>
        <v>0</v>
      </c>
      <c r="CV27" s="78" t="e">
        <f>ROUNDUP(IF(VALUE(RIGHT($G$3,4))=1,$I$3*30*F26*100,$I$3*20*F26*100),0)</f>
        <v>#VALUE!</v>
      </c>
      <c r="CW27" s="78"/>
      <c r="CX27" s="78">
        <f>ROUNDUP((準備!$G$57/100/DS27+IF(AND(VALUE(RIGHT($G$3,4))=1,$T$3=2),CU27/100*1.2,CU27/100))*(G26+H26)/2,2)</f>
        <v>0</v>
      </c>
      <c r="CY27" s="78" t="e">
        <f>ROUNDUP((準備!$G$57/100/DS27+IF(AND(VALUE(RIGHT($G$3,4))=1,$T$3=2),CV27/100*1.2,CV27/100))*(G26+H26)/2,2)</f>
        <v>#VALUE!</v>
      </c>
      <c r="CZ27" s="78">
        <f>IF(K27=0,0,ROUNDUP($CX27*POWER($DV27,2)/8/$DF27,1))</f>
        <v>0</v>
      </c>
      <c r="DA27" s="63">
        <f>IF($K27=0,0,ROUNDUP(5*$CX27*POWER($I26*100,4)/(384*VLOOKUP(VALUE(RIGHT($J26,4)),許容応力!$L$6:$U$22,10)*100*$DG27),2))</f>
        <v>0</v>
      </c>
      <c r="DB27" s="78" t="e">
        <f>ROUND((CX27*I26/DS27*100/2+EA27)/Z27,1)</f>
        <v>#DIV/0!</v>
      </c>
      <c r="DC27" s="78" t="e">
        <f>ROUNDUP($CY27*POWER($I26/$DS27*100,2)/8/$DF27,1)</f>
        <v>#VALUE!</v>
      </c>
      <c r="DD27" s="63" t="e">
        <f>ROUNDUP(5*$CY27*POWER($I26*100,4)/(384*VLOOKUP(VALUE(RIGHT($J26,4)),許容応力!$L$6:$U$22,10)*100*$DG27),2)</f>
        <v>#VALUE!</v>
      </c>
      <c r="DE27" s="78" t="e">
        <f>ROUND((CY27*I26/DS27*100/2+EA27)/Z27,1)</f>
        <v>#VALUE!</v>
      </c>
      <c r="DF27" s="63">
        <f>IF(M27&lt;180,ROUND((M27/10-3)*POWER(M27/10-3,2)/6*IF(AB27=0,1,AB27),0),ROUND((M27/10-5)*POWER(M27/10-3,2)/6*IF($AB27=0,1,$AB27),0))</f>
        <v>-5</v>
      </c>
      <c r="DG27" s="63">
        <f>ROUND(IF(M27&lt;180,(M27/10-3)*POWER((M27/10-3),3)/12*IF(AB27=0,1,AB27),(M27/10-5))*POWER((M27/10-3),3)/12*IF(AB27=0,1,AB27),0)</f>
        <v>-15</v>
      </c>
      <c r="DH27" s="10" t="e">
        <f>IF($DN$6=2,ROUND(VLOOKUP(DQ27,許容応力!$L$6:$U$22,7)*1.1/3*100,0),ROUND(VLOOKUP(DQ27,許容応力!$L$6:$U$22,7)*1.1/3*1.3*100,0))</f>
        <v>#VALUE!</v>
      </c>
      <c r="DI27" s="63" t="e">
        <f>ROUND(VLOOKUP(DQ27,許容応力!$L$6:$U$22,7)*100*2/3*0.8,0)</f>
        <v>#VALUE!</v>
      </c>
      <c r="DJ27" s="10" t="e">
        <f>IF($DN$6=2,ROUND(VLOOKUP(DQ27,許容応力!$L$6:$U$22,8)*1.1/3*100,0),ROUND(VLOOKUP(DQ27,許容応力!$L$6:$U$22,8)*1.1/3*1.3*100,0))</f>
        <v>#VALUE!</v>
      </c>
      <c r="DK27" s="63" t="e">
        <f>ROUND(VLOOKUP(DQ27,許容応力!$L$6:$U$22,8)*100*2/3*0.8,0)</f>
        <v>#VALUE!</v>
      </c>
      <c r="DL27" s="10" t="e">
        <f>IF($DN$6=2,ROUND(VLOOKUP(DQ27,許容応力!$L$6:$U$22,9)*1.1/3*100,0),ROUND(VLOOKUP(DQ27,許容応力!$L$6:$U$22,9)*1.1/3*1.3*100,0))</f>
        <v>#VALUE!</v>
      </c>
      <c r="DM27" s="63" t="e">
        <f>ROUND(VLOOKUP(DQ27,許容応力!$L$6:$U$22,9)*100*2/3*0.8,0)</f>
        <v>#VALUE!</v>
      </c>
      <c r="DN27" s="78">
        <f t="shared" si="7"/>
        <v>200</v>
      </c>
      <c r="DO27" s="78">
        <f>ROUND(I26/DS27*100/DN27,2)</f>
        <v>0</v>
      </c>
      <c r="DP27" s="78"/>
      <c r="DQ27" s="78" t="e">
        <f>+VALUE(RIGHT(J26,3))</f>
        <v>#VALUE!</v>
      </c>
      <c r="DR27" s="92">
        <f>ROUND(ATAN(E26/10)*180/PI(),4)</f>
        <v>0</v>
      </c>
      <c r="DS27" s="80">
        <f t="shared" si="42"/>
        <v>1</v>
      </c>
      <c r="DT27" s="78">
        <f>VLOOKUP(VALUE(RIGHT(C26,4)),$C$632:$F$641,4)</f>
        <v>200</v>
      </c>
      <c r="DU27" s="78">
        <f>ROUND(I26/DS27*100/DT27,2)</f>
        <v>0</v>
      </c>
      <c r="DV27" s="78">
        <f>ROUND(I26/DS27*100,0)</f>
        <v>0</v>
      </c>
      <c r="DW27" s="78"/>
      <c r="DX27" s="78" t="e">
        <f>ROUNDUP((準備!$F$60/100+準備!$E$48/100)*($G26+$H26)/2,2)</f>
        <v>#N/A</v>
      </c>
      <c r="DY27" s="71">
        <f>IF(I26&lt;6,POWER(M27/10,2)*I26/10000,POWER((M27/10+(ROUNDDOWN(I26,0)-4)/2),2)*I26/10000)</f>
        <v>0</v>
      </c>
      <c r="DZ27" s="78">
        <v>200</v>
      </c>
      <c r="EA27" s="93">
        <f>ROUND(DY27*DZ27/100,0)</f>
        <v>0</v>
      </c>
      <c r="EB27" s="78" t="e">
        <f>ROUND((CX27*I26/DS27*100/2+EA27)/AM27,1)</f>
        <v>#DIV/0!</v>
      </c>
      <c r="EC27" s="78" t="e">
        <f t="shared" si="43"/>
        <v>#DIV/0!</v>
      </c>
      <c r="ED27" s="78" t="e">
        <f>ROUND((CY27*I26/DS27*100/2+EA27)/AM27,1)</f>
        <v>#VALUE!</v>
      </c>
      <c r="EE27" s="78" t="e">
        <f t="shared" si="44"/>
        <v>#VALUE!</v>
      </c>
      <c r="EF27" s="78"/>
      <c r="EG27" s="78"/>
      <c r="EH27" s="78"/>
      <c r="EI27" s="78" t="str">
        <f>IF(M27=0,"",ROUND(CX27*I26/DS27*100/2/DJ27,2))</f>
        <v/>
      </c>
      <c r="EJ27" s="78" t="str">
        <f>IF(M27=0,"",ROUND(CY27*I26/DS27*100/2/DK27,2))</f>
        <v/>
      </c>
      <c r="EK27" s="63"/>
      <c r="EL27" s="63" t="e">
        <f>IF(AB27=0.8,VLOOKUP(ER27,$CR$395:$CS$439,2),IF(AB27=0.9,VLOOKUP(ER27,$CR$348:$CS$394,2),VLOOKUP(ER27,$CR$301:$CS$344,2)))</f>
        <v>#VALUE!</v>
      </c>
      <c r="EM27" s="63" t="e">
        <f>IF(AB27=0.8,VLOOKUP(ES27,$CT$395:$CU$439,2),IF(AB27=0.9,VLOOKUP(ES27,$CT$348:$CU$394,2),VLOOKUP(ES27,$CT$301:$CU$344,2)))</f>
        <v>#VALUE!</v>
      </c>
      <c r="EO27" s="63" t="e">
        <f>IF(AB27=0.8,VLOOKUP(EU27,$CR$395:$CS$439,2),IF(AB27=0.9,VLOOKUP(EU27,$CR$348:$CS$394,2),VLOOKUP(EU27,$CR$301:$CS$344,2)))</f>
        <v>#VALUE!</v>
      </c>
      <c r="EP27" s="63" t="e">
        <f>IF(AB27=0.8,VLOOKUP(EV27,$CT$395:$CU$439,2),IF(AB27=0.9,VLOOKUP(EV27,$CT$348:$CU$394,2),VLOOKUP(EV27,$CT$301:$CU$344,2)))</f>
        <v>#VALUE!</v>
      </c>
      <c r="EQ27" s="155" t="e">
        <f t="shared" si="45"/>
        <v>#VALUE!</v>
      </c>
      <c r="ER27" s="78" t="e">
        <f>ROUNDUP($CX27*POWER($DV27,2)/8/$DH27,1)</f>
        <v>#VALUE!</v>
      </c>
      <c r="ES27" s="78" t="e">
        <f>ROUNDUP(5*$CX27*POWER($I26/$DS27*100,4)/(384*VLOOKUP(VALUE(RIGHT($J26,4)),許容応力!$B$6:$K$22,10)*100*$DO27),2)</f>
        <v>#VALUE!</v>
      </c>
      <c r="ET27" s="78"/>
      <c r="EU27" s="78" t="e">
        <f>ROUNDUP($CY27*POWER($I26/$DS27*100,2)/8/$DI27,1)</f>
        <v>#VALUE!</v>
      </c>
      <c r="EV27" s="78" t="e">
        <f>ROUNDUP(5*$CY27*POWER($I26/$DS27*100,4)/(384*VLOOKUP(VALUE(RIGHT($J26,4)),許容応力!$B$6:$K$22,10)*100*$DU27),2)</f>
        <v>#VALUE!</v>
      </c>
      <c r="EW27" s="63"/>
      <c r="EX27" s="63"/>
      <c r="EY27" s="63"/>
      <c r="EZ27" s="63"/>
      <c r="FA27" s="63"/>
      <c r="FB27" s="63"/>
      <c r="FC27" s="57"/>
      <c r="FD27" s="57"/>
      <c r="FE27" s="57"/>
      <c r="FF27" s="57"/>
      <c r="FG27" s="57"/>
      <c r="FH27" s="57"/>
      <c r="FI27" s="57"/>
    </row>
    <row r="28" spans="2:165" ht="15.95" customHeight="1" thickBot="1" x14ac:dyDescent="0.2">
      <c r="B28" s="1585"/>
      <c r="C28" s="1163" t="s">
        <v>814</v>
      </c>
      <c r="D28" s="331"/>
      <c r="E28" s="1357"/>
      <c r="F28" s="1165" t="str">
        <f>IF(E28=0,"",ROUND(SQRT(COS(DR28*1.5*PI()/180)),3))</f>
        <v/>
      </c>
      <c r="G28" s="1359"/>
      <c r="H28" s="1359"/>
      <c r="I28" s="1517"/>
      <c r="J28" s="1479"/>
      <c r="K28" s="1116"/>
      <c r="L28" s="196">
        <f>+IF(K28=0,0,"×")</f>
        <v>0</v>
      </c>
      <c r="M28" s="241">
        <f>IF(K28=0,0,+EQ28)</f>
        <v>0</v>
      </c>
      <c r="N28" s="242" t="str">
        <f t="shared" si="0"/>
        <v/>
      </c>
      <c r="O28" s="1520">
        <f t="shared" ref="O28" si="54">IF(Z28=0,0,IF(AND(U28=0,X28=0),0,IF(IF(AE28&gt;=AH28,AE28,AH28)&lt;=1,"OK!","NO!")))</f>
        <v>0</v>
      </c>
      <c r="P28" s="1478"/>
      <c r="Q28" s="1574"/>
      <c r="R28" s="1574"/>
      <c r="S28" s="1618">
        <f t="shared" ref="S28" si="55">+IF(R28=0,0,6)</f>
        <v>0</v>
      </c>
      <c r="T28" s="1574"/>
      <c r="U28" s="1574"/>
      <c r="V28" s="196" t="str">
        <f>+S$185</f>
        <v/>
      </c>
      <c r="W28" s="1224">
        <f>IF(U28=0,0,+VLOOKUP(V28,$I$204:$J$209,2))</f>
        <v>0</v>
      </c>
      <c r="X28" s="1503"/>
      <c r="Y28" s="1490">
        <f>IF(X28=0,0,+CS28)</f>
        <v>0</v>
      </c>
      <c r="Z28" s="1481">
        <f>IF(AND(R28=0,X28=0),0,+IF(AND(VALUE(RIGHT(P28,4))=2,R28&gt;0),0,IF(AND(VALUE(RIGHT(P28,4))=1,X28&gt;0),0,CM28)))</f>
        <v>0</v>
      </c>
      <c r="AA28" s="1471">
        <f>IF(X28=0,0,IF(EI28&gt;=EJ28,EI28,EJ28))</f>
        <v>0</v>
      </c>
      <c r="AB28" s="1121"/>
      <c r="AC28" s="201" t="str">
        <f t="shared" si="1"/>
        <v/>
      </c>
      <c r="AD28" s="201" t="str">
        <f t="shared" si="2"/>
        <v/>
      </c>
      <c r="AE28" s="1471">
        <f>IF(F28=+"",0,IF(AND(U28=0,X28=0),0,IF(X28=0,ROUND(DB28/(DJ28*$CP$4*W28),2),ROUND(DB28/DJ28,2))))</f>
        <v>0</v>
      </c>
      <c r="AF28" s="201" t="str">
        <f t="shared" si="3"/>
        <v/>
      </c>
      <c r="AG28" s="201" t="str">
        <f t="shared" si="4"/>
        <v/>
      </c>
      <c r="AH28" s="1471">
        <f>IF(F28=+"",0,IF(AND(U28=0,X28=0),0,IF(X28=0,ROUND(DE28/(DK28*$CP$4*W28),2),ROUND(DE28/DK28,2))))</f>
        <v>0</v>
      </c>
      <c r="AI28" s="818"/>
      <c r="AJ28" s="811"/>
      <c r="AK28" s="823"/>
      <c r="AL28" s="812"/>
      <c r="AM28" s="1300">
        <f>IF(AI28=0,0,ROUND(AI28*AJ28+AK28*AL28+AI29*AJ29+AK29*AL29,2))</f>
        <v>0</v>
      </c>
      <c r="AN28" s="1300">
        <f t="shared" ref="AN28" si="56">IF(AJ28=0,0,IF(CO28=1,CN28/($CP$4*W28),CN28))</f>
        <v>0</v>
      </c>
      <c r="AO28" s="1302" t="str">
        <f t="shared" ref="AO28" si="57">IF(AN28=0,"",IF(AN28&lt;=1,"OK!","NO!"))</f>
        <v/>
      </c>
      <c r="AP28" s="182">
        <f>+IF(I28=0,0,"1/")</f>
        <v>0</v>
      </c>
      <c r="AQ28" s="183">
        <f>IF(I28=0,0,+DN28)</f>
        <v>0</v>
      </c>
      <c r="AR28" s="23"/>
      <c r="AS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1313">
        <f>IF(AND(U28=0,X28=0),0,IF(U28&gt;0,S$196/100*$CP$4*W28,ROUND(POWER(X28*Y28,2)/(K28/10*M28/10),2)))</f>
        <v>0</v>
      </c>
      <c r="CN28" s="1304" t="str">
        <f>IF($AJ28=0,"",IF($EC28&gt;=$EE28,$EC28,$EE28))</f>
        <v/>
      </c>
      <c r="CO28" s="552">
        <f>IF(P28=0,0,+VALUE(RIGHT(P28,4)))</f>
        <v>0</v>
      </c>
      <c r="CP28" s="91" t="e">
        <f>ROUNDUP(CX28*I28/DS28*100/2/DL28,2)</f>
        <v>#VALUE!</v>
      </c>
      <c r="CQ28" s="91" t="e">
        <f>ROUNDUP(CY28*I28/DS28*100/2/DM28,2)</f>
        <v>#VALUE!</v>
      </c>
      <c r="CR28" s="91" t="e">
        <f t="shared" si="40"/>
        <v>#VALUE!</v>
      </c>
      <c r="CS28" s="9">
        <f>IF(M28=0,0,ROUNDUP(SQRT((AA28*K28/10*M28/10)/(X28*X28)),2))</f>
        <v>0</v>
      </c>
      <c r="CT28" s="87"/>
      <c r="CU28" s="87">
        <f t="shared" si="41"/>
        <v>0</v>
      </c>
      <c r="CV28" s="87" t="e">
        <f>ROUNDUP(IF(VALUE(RIGHT($G$3,4))=1,$I$3*30*F28*100,$I$3*20*F28*100),0)</f>
        <v>#VALUE!</v>
      </c>
      <c r="CW28" s="87"/>
      <c r="CX28" s="87">
        <f>ROUNDUP((準備!$G$57/100/DS28+IF(AND(VALUE(RIGHT($G$3,4))=1,$T$3=2),CU28/100*1.2,CU28/100))*(G28+H28)/2,2)</f>
        <v>0</v>
      </c>
      <c r="CY28" s="87" t="e">
        <f>ROUNDUP((準備!$G$57/100/DS28+IF(AND(VALUE(RIGHT($G$3,4))=1,$T$3=2),CV28/100*1.2,CV28/100))*(G28+H28)/2,2)</f>
        <v>#VALUE!</v>
      </c>
      <c r="CZ28" s="87" t="e">
        <f>ROUNDUP($CX28*POWER($DV28,2)/8/$DF28,1)</f>
        <v>#DIV/0!</v>
      </c>
      <c r="DA28" s="87" t="e">
        <f>ROUNDUP(5*$CX28*POWER($I28/$DS28*100,4)/(384*VLOOKUP(VALUE(RIGHT($J28,4)),許容応力!$B$6:$K$22,10)*100*$DG28),2)</f>
        <v>#VALUE!</v>
      </c>
      <c r="DB28" s="87" t="e">
        <f>ROUND(CX28*I28/DS28*100/2/Z28,1)</f>
        <v>#DIV/0!</v>
      </c>
      <c r="DC28" s="87" t="e">
        <f>ROUNDUP($CY28*POWER($I28/$DS28*100,2)/8/$DF28,1)</f>
        <v>#VALUE!</v>
      </c>
      <c r="DD28" s="87" t="e">
        <f>ROUNDUP(5*$CY28*POWER($I28/$DS28*100,4)/(384*VLOOKUP(VALUE(RIGHT($J28,4)),許容応力!$B$6:$K$22,10)*100*$DG28),2)</f>
        <v>#VALUE!</v>
      </c>
      <c r="DE28" s="87" t="e">
        <f>ROUND(CY28*I28/DS28*100/2/Z28,1)</f>
        <v>#VALUE!</v>
      </c>
      <c r="DF28" s="87">
        <f>ROUNDDOWN($K28/10*POWER($M28/10,2)/6*IF(OR($AB28=0,$AB28=1),1,$AB28),0)</f>
        <v>0</v>
      </c>
      <c r="DG28" s="87">
        <f>ROUNDDOWN($K28/10*POWER($M28/10,3)/12*IF(OR($AB28=0,$AB28=1),1,$AB28),0)</f>
        <v>0</v>
      </c>
      <c r="DH28" s="10" t="e">
        <f>IF($DN$6=2,ROUND(VLOOKUP(DQ28,許容応力!$B$6:$K$22,7)*1.1/3*100,0),ROUND(VLOOKUP(DQ28,許容応力!$B$6:$K$22,7)*1.1/3*1.3*100,0))</f>
        <v>#VALUE!</v>
      </c>
      <c r="DI28" s="87" t="e">
        <f>ROUND(VLOOKUP(DQ28,許容応力!$B$6:$K$22,7)*100*2/3*0.8,0)</f>
        <v>#VALUE!</v>
      </c>
      <c r="DJ28" s="10" t="e">
        <f>IF($DN$6=2,ROUND(VLOOKUP(DQ28,許容応力!$B$6:$K$22,8)*1.1/3*100,0),ROUND(VLOOKUP(DQ28,許容応力!$B$6:$K$22,8)*1.1/3*1.3*100,0))</f>
        <v>#VALUE!</v>
      </c>
      <c r="DK28" s="87" t="e">
        <f>ROUND(VLOOKUP(DQ28,許容応力!$B$6:$K$22,8)*100*2/3*0.8,0)</f>
        <v>#VALUE!</v>
      </c>
      <c r="DL28" s="10" t="e">
        <f>IF($DN$6=2,ROUND(VLOOKUP(DQ28,許容応力!$B$6:$K$22,9)*1.1/3*100,0),ROUND(VLOOKUP(DQ28,許容応力!$B$6:$K$22,9)*1.1/3*1.3*100,0))</f>
        <v>#VALUE!</v>
      </c>
      <c r="DM28" s="87" t="e">
        <f>ROUND(VLOOKUP(DQ28,許容応力!$B$6:$K$22,9)*100*2/3*0.8,0)</f>
        <v>#VALUE!</v>
      </c>
      <c r="DN28" s="87">
        <f t="shared" si="7"/>
        <v>200</v>
      </c>
      <c r="DO28" s="87">
        <f>ROUND(I28/DS28*100/DN28,2)</f>
        <v>0</v>
      </c>
      <c r="DP28" s="87"/>
      <c r="DQ28" s="87" t="e">
        <f>+VALUE(RIGHT(J28,3))</f>
        <v>#VALUE!</v>
      </c>
      <c r="DR28" s="89">
        <f>ROUND(ATAN(E28/10)*180/PI(),4)</f>
        <v>0</v>
      </c>
      <c r="DS28" s="90">
        <f t="shared" si="42"/>
        <v>1</v>
      </c>
      <c r="DT28" s="87">
        <f>VLOOKUP(VALUE(RIGHT(C28,4)),$C$632:$F$641,4)</f>
        <v>200</v>
      </c>
      <c r="DU28" s="87">
        <f>ROUND(I28/DS28*100/DT28,2)</f>
        <v>0</v>
      </c>
      <c r="DV28" s="87">
        <f>ROUND(I28/DS28*100,0)</f>
        <v>0</v>
      </c>
      <c r="DW28" s="87"/>
      <c r="DX28" s="87" t="e">
        <f>ROUNDUP((準備!$F$60/100+準備!$E$48/100)*($G28+$H28)/2,2)</f>
        <v>#N/A</v>
      </c>
      <c r="DY28" s="87"/>
      <c r="DZ28" s="87"/>
      <c r="EA28" s="87"/>
      <c r="EB28" s="87" t="e">
        <f>ROUND(CX28*I28/DS28*100/2/AM28,1)</f>
        <v>#DIV/0!</v>
      </c>
      <c r="EC28" s="87" t="e">
        <f t="shared" si="43"/>
        <v>#DIV/0!</v>
      </c>
      <c r="ED28" s="87" t="e">
        <f>ROUND(CY28*I28/DS28*100/2/AM28,1)</f>
        <v>#VALUE!</v>
      </c>
      <c r="EE28" s="87" t="e">
        <f t="shared" si="44"/>
        <v>#VALUE!</v>
      </c>
      <c r="EF28" s="87"/>
      <c r="EG28" s="87"/>
      <c r="EH28" s="87"/>
      <c r="EI28" s="87" t="str">
        <f>IF(M28=0,"",ROUND(CX28*I28/DS28*100/2/DJ28,2))</f>
        <v/>
      </c>
      <c r="EJ28" s="87" t="str">
        <f>IF(M28=0,"",ROUND(CY28*I28/DS28*100/2/DK28,2))</f>
        <v/>
      </c>
      <c r="EK28" s="63"/>
      <c r="EL28" s="63" t="e">
        <f>ROUNDUP(ER28/3,-1)*3</f>
        <v>#VALUE!</v>
      </c>
      <c r="EM28" s="63" t="e">
        <f>ROUNDUP(ES28/3,-1)*3</f>
        <v>#VALUE!</v>
      </c>
      <c r="EO28" s="63" t="e">
        <f>ROUNDUP(EU28/3,-1)*3</f>
        <v>#VALUE!</v>
      </c>
      <c r="EP28" s="63" t="e">
        <f>ROUNDUP(EV28/3,-1)*3</f>
        <v>#VALUE!</v>
      </c>
      <c r="EQ28" s="155" t="e">
        <f t="shared" si="45"/>
        <v>#VALUE!</v>
      </c>
      <c r="ER28" s="87" t="e">
        <f>ROUNDUP(SQRT(EW28/($K28/10)*6/IF(OR($AB28=0,$AB28=1),1,$AB28))*10,0)</f>
        <v>#VALUE!</v>
      </c>
      <c r="ES28" s="87" t="e">
        <f>POWER(ROUND(EX28/($K28/10)*12/IF(OR($AB28=0,$AB28=1),1,$AB28),0),1/3)*10</f>
        <v>#VALUE!</v>
      </c>
      <c r="EU28" s="87" t="e">
        <f>ROUNDUP(SQRT(EZ28/($K28/10)*6/IF(OR($AB28=0,$AB28=1),1,$AB28))*10,0)</f>
        <v>#VALUE!</v>
      </c>
      <c r="EV28" s="87" t="e">
        <f>POWER(ROUND(FA28/($K28/10)*12/IF(OR($AB28=0,$AB28=1),1,$AB28),0),1/3)*10</f>
        <v>#VALUE!</v>
      </c>
      <c r="EW28" s="87" t="e">
        <f>ROUNDUP($CX28*POWER($DV28,2)/8/DH28,1)</f>
        <v>#VALUE!</v>
      </c>
      <c r="EX28" s="87" t="e">
        <f>ROUNDUP(5*$CX28*POWER($I28/$DS28*100,4)/(384*VLOOKUP(VALUE(RIGHT($J28,4)),許容応力!$B$6:$K$22,10)*100*$DO28),2)</f>
        <v>#VALUE!</v>
      </c>
      <c r="EY28" s="87"/>
      <c r="EZ28" s="87" t="e">
        <f>ROUNDUP($CY28*POWER($I28/$DS28*100,2)/8/DI28,1)</f>
        <v>#VALUE!</v>
      </c>
      <c r="FA28" s="87" t="e">
        <f>ROUNDUP(5*$CY28*POWER($I28/$DS28*100,4)/(384*VLOOKUP(VALUE(RIGHT($J28,4)),許容応力!$B$6:$K$22,10)*100*$DU28),2)</f>
        <v>#VALUE!</v>
      </c>
      <c r="FB28" s="63"/>
      <c r="FC28" s="57"/>
      <c r="FD28" s="57"/>
      <c r="FE28" s="57"/>
      <c r="FF28" s="57"/>
      <c r="FG28" s="57"/>
      <c r="FH28" s="57"/>
      <c r="FI28" s="57"/>
    </row>
    <row r="29" spans="2:165" ht="15.95" customHeight="1" thickBot="1" x14ac:dyDescent="0.2">
      <c r="B29" s="1585"/>
      <c r="C29" s="1163"/>
      <c r="D29" s="330"/>
      <c r="E29" s="1574"/>
      <c r="F29" s="1224"/>
      <c r="G29" s="1517"/>
      <c r="H29" s="1517"/>
      <c r="I29" s="1360"/>
      <c r="J29" s="1569"/>
      <c r="K29" s="1201">
        <f>+IF(J28=0,0,"丸太末口 φ")</f>
        <v>0</v>
      </c>
      <c r="L29" s="1202"/>
      <c r="M29" s="243">
        <f>IF(J28=0,0,+EQ29)</f>
        <v>0</v>
      </c>
      <c r="N29" s="244" t="str">
        <f t="shared" si="0"/>
        <v/>
      </c>
      <c r="O29" s="1570"/>
      <c r="P29" s="1479"/>
      <c r="Q29" s="1573"/>
      <c r="R29" s="1573"/>
      <c r="S29" s="1619"/>
      <c r="T29" s="1573"/>
      <c r="U29" s="1573"/>
      <c r="V29" s="1021" t="str">
        <f>+S$184</f>
        <v/>
      </c>
      <c r="W29" s="1622"/>
      <c r="X29" s="1504"/>
      <c r="Y29" s="1482"/>
      <c r="Z29" s="1482"/>
      <c r="AA29" s="1492"/>
      <c r="AB29" s="1122"/>
      <c r="AC29" s="206" t="str">
        <f t="shared" si="1"/>
        <v/>
      </c>
      <c r="AD29" s="206" t="str">
        <f t="shared" si="2"/>
        <v/>
      </c>
      <c r="AE29" s="1492"/>
      <c r="AF29" s="206" t="str">
        <f t="shared" si="3"/>
        <v/>
      </c>
      <c r="AG29" s="206" t="str">
        <f t="shared" si="4"/>
        <v/>
      </c>
      <c r="AH29" s="1472"/>
      <c r="AI29" s="817"/>
      <c r="AJ29" s="809"/>
      <c r="AK29" s="824"/>
      <c r="AL29" s="814"/>
      <c r="AM29" s="1301"/>
      <c r="AN29" s="1634"/>
      <c r="AO29" s="1372"/>
      <c r="AP29" s="189">
        <f>+IF(I28=0,0,"1/")</f>
        <v>0</v>
      </c>
      <c r="AQ29" s="193">
        <f>IF(I28=0,0,+DN29)</f>
        <v>0</v>
      </c>
      <c r="AR29" s="23"/>
      <c r="AS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1312"/>
      <c r="CN29" s="1301"/>
      <c r="CO29" s="548"/>
      <c r="CP29" s="9" t="e">
        <f>ROUNDUP(CX29*I28/DS29*100/2/DL29,2)</f>
        <v>#VALUE!</v>
      </c>
      <c r="CQ29" s="9" t="e">
        <f>ROUNDUP(CY29*I28/DS29*100/2/DM29,2)</f>
        <v>#VALUE!</v>
      </c>
      <c r="CR29" s="9" t="e">
        <f t="shared" si="40"/>
        <v>#VALUE!</v>
      </c>
      <c r="CS29" s="9">
        <f>IF(M29=0,0,ROUNDUP(SQRT(AA29*(M29/10-6)*(M29/10-3))/(X29*X29),2))</f>
        <v>0</v>
      </c>
      <c r="CT29" s="78"/>
      <c r="CU29" s="78">
        <f t="shared" si="41"/>
        <v>0</v>
      </c>
      <c r="CV29" s="78" t="e">
        <f>ROUNDUP(IF(VALUE(RIGHT($G$3,4))=1,$I$3*30*F28*100,$I$3*20*F28*100),0)</f>
        <v>#VALUE!</v>
      </c>
      <c r="CW29" s="78"/>
      <c r="CX29" s="78">
        <f>ROUNDUP((準備!$G$57/100/DS29+IF(AND(VALUE(RIGHT($G$3,4))=1,$T$3=2),CU29/100*1.2,CU29/100))*(G28+H28)/2,2)</f>
        <v>0</v>
      </c>
      <c r="CY29" s="78" t="e">
        <f>ROUNDUP((準備!$G$57/100/DS29+IF(AND(VALUE(RIGHT($G$3,4))=1,$T$3=2),CV29/100*1.2,CV29/100))*(G28+H28)/2,2)</f>
        <v>#VALUE!</v>
      </c>
      <c r="CZ29" s="78">
        <f>IF(K29=0,0,ROUNDUP($CX29*POWER($DV29,2)/8/$DF29,1))</f>
        <v>0</v>
      </c>
      <c r="DA29" s="63">
        <f>IF($K29=0,0,ROUNDUP(5*$CX29*POWER($I28*100,4)/(384*VLOOKUP(VALUE(RIGHT($J28,4)),許容応力!$L$6:$U$22,10)*100*$DG29),2))</f>
        <v>0</v>
      </c>
      <c r="DB29" s="78" t="e">
        <f>ROUND((CX29*I28/DS29*100/2+EA29)/Z29,1)</f>
        <v>#DIV/0!</v>
      </c>
      <c r="DC29" s="78" t="e">
        <f>ROUNDUP($CY29*POWER($I28/$DS29*100,2)/8/$DF29,1)</f>
        <v>#VALUE!</v>
      </c>
      <c r="DD29" s="63" t="e">
        <f>ROUNDUP(5*$CY29*POWER($I28*100,4)/(384*VLOOKUP(VALUE(RIGHT($J28,4)),許容応力!$L$6:$U$22,10)*100*$DG29),2)</f>
        <v>#VALUE!</v>
      </c>
      <c r="DE29" s="78" t="e">
        <f>ROUND((CY29*I28/DS29*100/2+EA29)/Z29,1)</f>
        <v>#VALUE!</v>
      </c>
      <c r="DF29" s="63">
        <f>IF(M29&lt;180,ROUND((M29/10-3)*POWER(M29/10-3,2)/6*IF(AB29=0,1,AB29),0),ROUND((M29/10-5)*POWER(M29/10-3,2)/6*IF($AB29=0,1,$AB29),0))</f>
        <v>-5</v>
      </c>
      <c r="DG29" s="63">
        <f>ROUND(IF(M29&lt;180,(M29/10-3)*POWER((M29/10-3),3)/12*IF(AB29=0,1,AB29),(M29/10-5))*POWER((M29/10-3),3)/12*IF(AB29=0,1,AB29),0)</f>
        <v>-15</v>
      </c>
      <c r="DH29" s="10" t="e">
        <f>IF($DN$6=2,ROUND(VLOOKUP(DQ29,許容応力!$L$6:$U$22,7)*1.1/3*100,0),ROUND(VLOOKUP(DQ29,許容応力!$L$6:$U$22,7)*1.1/3*1.3*100,0))</f>
        <v>#VALUE!</v>
      </c>
      <c r="DI29" s="63" t="e">
        <f>ROUND(VLOOKUP(DQ29,許容応力!$L$6:$U$22,7)*100*2/3*0.8,0)</f>
        <v>#VALUE!</v>
      </c>
      <c r="DJ29" s="10" t="e">
        <f>IF($DN$6=2,ROUND(VLOOKUP(DQ29,許容応力!$L$6:$U$22,8)*1.1/3*100,0),ROUND(VLOOKUP(DQ29,許容応力!$L$6:$U$22,8)*1.1/3*1.3*100,0))</f>
        <v>#VALUE!</v>
      </c>
      <c r="DK29" s="63" t="e">
        <f>ROUND(VLOOKUP(DQ29,許容応力!$L$6:$U$22,8)*100*2/3*0.8,0)</f>
        <v>#VALUE!</v>
      </c>
      <c r="DL29" s="10" t="e">
        <f>IF($DN$6=2,ROUND(VLOOKUP(DQ29,許容応力!$L$6:$U$22,9)*1.1/3*100,0),ROUND(VLOOKUP(DQ29,許容応力!$L$6:$U$22,9)*1.1/3*1.3*100,0))</f>
        <v>#VALUE!</v>
      </c>
      <c r="DM29" s="63" t="e">
        <f>ROUND(VLOOKUP(DQ29,許容応力!$L$6:$U$22,9)*100*2/3*0.8,0)</f>
        <v>#VALUE!</v>
      </c>
      <c r="DN29" s="78">
        <f t="shared" si="7"/>
        <v>200</v>
      </c>
      <c r="DO29" s="78">
        <f>ROUND(I28/DS29*100/DN29,2)</f>
        <v>0</v>
      </c>
      <c r="DP29" s="78"/>
      <c r="DQ29" s="78" t="e">
        <f>+VALUE(RIGHT(J28,3))</f>
        <v>#VALUE!</v>
      </c>
      <c r="DR29" s="92">
        <f>ROUND(ATAN(E28/10)*180/PI(),4)</f>
        <v>0</v>
      </c>
      <c r="DS29" s="80">
        <f t="shared" si="42"/>
        <v>1</v>
      </c>
      <c r="DT29" s="78">
        <f>VLOOKUP(VALUE(RIGHT(C28,4)),$C$632:$F$641,4)</f>
        <v>200</v>
      </c>
      <c r="DU29" s="78">
        <f>ROUND(I28/DS29*100/DT29,2)</f>
        <v>0</v>
      </c>
      <c r="DV29" s="78">
        <f>ROUND(I28/DS29*100,0)</f>
        <v>0</v>
      </c>
      <c r="DW29" s="78"/>
      <c r="DX29" s="78" t="e">
        <f>ROUNDUP((準備!$F$60/100+準備!$E$48/100)*($G28+$H28)/2,2)</f>
        <v>#N/A</v>
      </c>
      <c r="DY29" s="71">
        <f>IF(I28&lt;6,POWER(M29/10,2)*I28/10000,POWER((M29/10+(ROUNDDOWN(I28,0)-4)/2),2)*I28/10000)</f>
        <v>0</v>
      </c>
      <c r="DZ29" s="78">
        <v>200</v>
      </c>
      <c r="EA29" s="93">
        <f>ROUND(DY29*DZ29/100,0)</f>
        <v>0</v>
      </c>
      <c r="EB29" s="78" t="e">
        <f>ROUND((CX29*I28/DS29*100/2+EA29)/AM29,1)</f>
        <v>#DIV/0!</v>
      </c>
      <c r="EC29" s="78" t="e">
        <f t="shared" si="43"/>
        <v>#DIV/0!</v>
      </c>
      <c r="ED29" s="78" t="e">
        <f>ROUND((CY29*I28/DS29*100/2+EA29)/AM29,1)</f>
        <v>#VALUE!</v>
      </c>
      <c r="EE29" s="78" t="e">
        <f t="shared" si="44"/>
        <v>#VALUE!</v>
      </c>
      <c r="EF29" s="78"/>
      <c r="EG29" s="78"/>
      <c r="EH29" s="78"/>
      <c r="EI29" s="78" t="str">
        <f>IF(M29=0,"",ROUND(CX29*I28/DS29*100/2/DJ29,2))</f>
        <v/>
      </c>
      <c r="EJ29" s="78" t="str">
        <f>IF(M29=0,"",ROUND(CY29*I28/DS29*100/2/DK29,2))</f>
        <v/>
      </c>
      <c r="EK29" s="63"/>
      <c r="EL29" s="63" t="e">
        <f>IF(AB29=0.8,VLOOKUP(ER29,$CR$395:$CS$439,2),IF(AB29=0.9,VLOOKUP(ER29,$CR$348:$CS$394,2),VLOOKUP(ER29,$CR$301:$CS$344,2)))</f>
        <v>#VALUE!</v>
      </c>
      <c r="EM29" s="63" t="e">
        <f>IF(AB29=0.8,VLOOKUP(ES29,$CT$395:$CU$439,2),IF(AB29=0.9,VLOOKUP(ES29,$CT$348:$CU$394,2),VLOOKUP(ES29,$CT$301:$CU$344,2)))</f>
        <v>#VALUE!</v>
      </c>
      <c r="EO29" s="63" t="e">
        <f>IF(AB29=0.8,VLOOKUP(EU29,$CR$395:$CS$439,2),IF(AB29=0.9,VLOOKUP(EU29,$CR$348:$CS$394,2),VLOOKUP(EU29,$CR$301:$CS$344,2)))</f>
        <v>#VALUE!</v>
      </c>
      <c r="EP29" s="63" t="e">
        <f>IF(AB29=0.8,VLOOKUP(EV29,$CT$395:$CU$439,2),IF(AB29=0.9,VLOOKUP(EV29,$CT$348:$CU$394,2),VLOOKUP(EV29,$CT$301:$CU$344,2)))</f>
        <v>#VALUE!</v>
      </c>
      <c r="EQ29" s="155" t="e">
        <f t="shared" si="45"/>
        <v>#VALUE!</v>
      </c>
      <c r="ER29" s="78" t="e">
        <f>ROUNDUP($CX29*POWER($DV29,2)/8/$DH29,1)</f>
        <v>#VALUE!</v>
      </c>
      <c r="ES29" s="78" t="e">
        <f>ROUNDUP(5*$CX29*POWER($I28/$DS29*100,4)/(384*VLOOKUP(VALUE(RIGHT($J28,4)),許容応力!$B$6:$K$22,10)*100*$DO29),2)</f>
        <v>#VALUE!</v>
      </c>
      <c r="ET29" s="78"/>
      <c r="EU29" s="78" t="e">
        <f>ROUNDUP($CY29*POWER($I28/$DS29*100,2)/8/$DI29,1)</f>
        <v>#VALUE!</v>
      </c>
      <c r="EV29" s="78" t="e">
        <f>ROUNDUP(5*$CY29*POWER($I28/$DS29*100,4)/(384*VLOOKUP(VALUE(RIGHT($J28,4)),許容応力!$B$6:$K$22,10)*100*$DU29),2)</f>
        <v>#VALUE!</v>
      </c>
      <c r="EW29" s="63"/>
      <c r="EX29" s="63"/>
      <c r="EY29" s="63"/>
      <c r="EZ29" s="63"/>
      <c r="FA29" s="63"/>
      <c r="FB29" s="63"/>
      <c r="FC29" s="57"/>
      <c r="FD29" s="57"/>
      <c r="FE29" s="57"/>
      <c r="FF29" s="57"/>
      <c r="FG29" s="57"/>
      <c r="FH29" s="57"/>
      <c r="FI29" s="57"/>
    </row>
    <row r="30" spans="2:165" ht="15.95" customHeight="1" thickBot="1" x14ac:dyDescent="0.2">
      <c r="B30" s="1587" t="s">
        <v>822</v>
      </c>
      <c r="C30" s="1162" t="s">
        <v>810</v>
      </c>
      <c r="D30" s="329"/>
      <c r="E30" s="1356"/>
      <c r="F30" s="1169" t="str">
        <f>IF(E30=0,"",ROUND(SQRT(COS(DR30*1.5*PI()/180)),3))</f>
        <v/>
      </c>
      <c r="G30" s="1358"/>
      <c r="H30" s="1358"/>
      <c r="I30" s="1360"/>
      <c r="J30" s="1569"/>
      <c r="K30" s="1116"/>
      <c r="L30" s="197">
        <f>+IF(K30=0,0,"×")</f>
        <v>0</v>
      </c>
      <c r="M30" s="245">
        <f>IF(K30=0,0,+EQ30)</f>
        <v>0</v>
      </c>
      <c r="N30" s="246" t="str">
        <f t="shared" si="0"/>
        <v/>
      </c>
      <c r="O30" s="1518">
        <f t="shared" ref="O30" si="58">IF(Z30=0,0,IF(AND(U30=0,X30=0),0,IF(IF(AE30&gt;=AH30,AE30,AH30)&lt;=1,"OK!","NO!")))</f>
        <v>0</v>
      </c>
      <c r="P30" s="1575"/>
      <c r="Q30" s="1573"/>
      <c r="R30" s="1573"/>
      <c r="S30" s="1619">
        <f t="shared" ref="S30" si="59">+IF(R30=0,0,6)</f>
        <v>0</v>
      </c>
      <c r="T30" s="1573"/>
      <c r="U30" s="1573"/>
      <c r="V30" s="197" t="str">
        <f>+T$185</f>
        <v/>
      </c>
      <c r="W30" s="1622">
        <f>IF(U30=0,0,+VLOOKUP(V30,$I$204:$J$209,2))</f>
        <v>0</v>
      </c>
      <c r="X30" s="1504"/>
      <c r="Y30" s="1495">
        <f>IF(X30=0,0,+CS30)</f>
        <v>0</v>
      </c>
      <c r="Z30" s="1483">
        <f>IF(AND(R30=0,X30=0),0,+IF(AND(VALUE(RIGHT(P30,4))=2,R30&gt;0),0,IF(AND(VALUE(RIGHT(P30,4))=1,X30&gt;0),0,CM30)))</f>
        <v>0</v>
      </c>
      <c r="AA30" s="1472">
        <f>IF(X30=0,0,IF(EI30&gt;=EJ30,EI30,EJ30))</f>
        <v>0</v>
      </c>
      <c r="AB30" s="1123"/>
      <c r="AC30" s="203" t="str">
        <f t="shared" si="1"/>
        <v/>
      </c>
      <c r="AD30" s="203" t="str">
        <f t="shared" si="2"/>
        <v/>
      </c>
      <c r="AE30" s="1472">
        <f>IF(F30=+"",0,IF(AND(U30=0,X30=0),0,IF(X30=0,ROUND(DB30/(DJ30*$CP$4*W30),2),ROUND(DB30/DJ30,2))))</f>
        <v>0</v>
      </c>
      <c r="AF30" s="203" t="str">
        <f t="shared" si="3"/>
        <v/>
      </c>
      <c r="AG30" s="203" t="str">
        <f t="shared" si="4"/>
        <v/>
      </c>
      <c r="AH30" s="1472">
        <f>IF(F30=+"",0,IF(AND(U30=0,X30=0),0,IF(X30=0,ROUND(DE30/(DK30*$CP$4*W30),2),ROUND(DE30/DK30,2))))</f>
        <v>0</v>
      </c>
      <c r="AI30" s="820"/>
      <c r="AJ30" s="815"/>
      <c r="AK30" s="821"/>
      <c r="AL30" s="808"/>
      <c r="AM30" s="1304">
        <f>IF(AI30=0,0,ROUND(AI30*AJ30+AK30*AL30+AI31*AJ31+AK31*AL31,2))</f>
        <v>0</v>
      </c>
      <c r="AN30" s="1304">
        <f t="shared" ref="AN30" si="60">IF(AJ30=0,0,IF(CO30=1,CN30/($CP$4*W30),CN30))</f>
        <v>0</v>
      </c>
      <c r="AO30" s="1317" t="str">
        <f t="shared" ref="AO30" si="61">IF(AN30=0,"",IF(AN30&lt;=1,"OK!","NO!"))</f>
        <v/>
      </c>
      <c r="AP30" s="191">
        <f>+IF(I30=0,0,"1/")</f>
        <v>0</v>
      </c>
      <c r="AQ30" s="192">
        <f>IF(I30=0,0,+DN30)</f>
        <v>0</v>
      </c>
      <c r="AR30" s="23"/>
      <c r="AS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1313">
        <f>IF(AND(U30=0,X30=0),0,IF(U30&gt;0,T$196/100*$CP$4*W30,ROUND(POWER(X30*Y30,2)/(K30/10*M30/10),2)))</f>
        <v>0</v>
      </c>
      <c r="CN30" s="1304" t="str">
        <f>IF($AJ30=0,"",IF($EC30&gt;=$EE30,$EC30,$EE30))</f>
        <v/>
      </c>
      <c r="CO30" s="552">
        <f>IF(P30=0,0,+VALUE(RIGHT(P30,4)))</f>
        <v>0</v>
      </c>
      <c r="CP30" s="91" t="e">
        <f>ROUNDUP(CX30*I30/DS30*100/2/DL30,2)</f>
        <v>#VALUE!</v>
      </c>
      <c r="CQ30" s="91" t="e">
        <f>ROUNDUP(CY30*I30/DS30*100/2/DM30,2)</f>
        <v>#VALUE!</v>
      </c>
      <c r="CR30" s="23" t="e">
        <f t="shared" ref="CR30:CR41" si="62">IF(CP30&gt;=CQ30,CP30,CQ30)</f>
        <v>#VALUE!</v>
      </c>
      <c r="CS30" s="9">
        <f>IF(M30=0,0,ROUNDUP(SQRT((AA30*K30/10*M30/10)/(X30*X30)),2))</f>
        <v>0</v>
      </c>
      <c r="CU30" s="63">
        <f t="shared" ref="CU30:CU39" si="63">ROUNDUP(IF(VALUE(RIGHT($G$3,3))=1,CV30*0.7,0),0)</f>
        <v>0</v>
      </c>
      <c r="CV30" s="63" t="e">
        <f>ROUNDUP(IF(VALUE(RIGHT($G$3,4))=1,$I$3*30*F30*100,$I$3*20*F30*100),0)</f>
        <v>#VALUE!</v>
      </c>
      <c r="CW30" s="63"/>
      <c r="CX30" s="63">
        <f>ROUNDUP((準備!$G$57/100/DS30+IF(AND(VALUE(RIGHT($G$3,4))=1,$T$3=2),CU30/100*1.2,CU30/100))*(G30+H30)/2,2)</f>
        <v>0</v>
      </c>
      <c r="CY30" s="63" t="e">
        <f>ROUNDUP((準備!$G$57/100/DS30+IF(AND(VALUE(RIGHT($G$3,4))=1,$T$3=2),CV30/100*1.2,CV30/100))*(G30+H30)/2,2)</f>
        <v>#VALUE!</v>
      </c>
      <c r="CZ30" s="63" t="e">
        <f>ROUNDUP($CX30*POWER($I30*100,2)/8/$DF30,1)</f>
        <v>#DIV/0!</v>
      </c>
      <c r="DA30" s="63" t="e">
        <f>ROUNDUP(5*$CX30*POWER($I30*100,4)/(384*VLOOKUP(VALUE(RIGHT($J30,4)),許容応力!$B$6:$K$22,10)*100*$DG30),2)</f>
        <v>#VALUE!</v>
      </c>
      <c r="DB30" s="87" t="e">
        <f>ROUND(CX30*I30/DS30*100/2/Z30,1)</f>
        <v>#DIV/0!</v>
      </c>
      <c r="DC30" s="63" t="e">
        <f>ROUNDUP($CY30*POWER($I30*100,2)/8/$DF30,1)</f>
        <v>#VALUE!</v>
      </c>
      <c r="DD30" s="63" t="e">
        <f>ROUNDUP(5*$CY30*POWER($I30*100,4)/(384*VLOOKUP(VALUE(RIGHT($J30,4)),許容応力!$B$6:$K$22,10)*100*$DG30),2)</f>
        <v>#VALUE!</v>
      </c>
      <c r="DE30" s="87" t="e">
        <f>ROUND(CY30*I30/DS30*100/2/Z30,1)</f>
        <v>#VALUE!</v>
      </c>
      <c r="DF30" s="63">
        <f>ROUNDDOWN($K30/10*POWER($M30/10,2)/6*IF(OR($AB30=0,$AB30=1),1,$AB30),0)</f>
        <v>0</v>
      </c>
      <c r="DG30" s="63">
        <f>ROUNDDOWN($K30/10*POWER($M30/10,3)/12*IF(OR($AB30=0,$AB30=1),1,$AB30),0)</f>
        <v>0</v>
      </c>
      <c r="DH30" s="10" t="e">
        <f>IF($DN$6=2,ROUND(VLOOKUP(DQ30,許容応力!$B$6:$K$22,7)*1.1/3*100,0),ROUND(VLOOKUP(DQ30,許容応力!$B$6:$K$22,7)*1.1/3*1.3*100,0))</f>
        <v>#VALUE!</v>
      </c>
      <c r="DI30" s="87" t="e">
        <f>ROUND(VLOOKUP(DQ30,許容応力!$B$6:$K$22,7)*100*2/3*0.8,0)</f>
        <v>#VALUE!</v>
      </c>
      <c r="DJ30" s="10" t="e">
        <f>IF($DN$6=2,ROUND(VLOOKUP(DQ30,許容応力!$B$6:$K$22,8)*1.1/3*100,0),ROUND(VLOOKUP(DQ30,許容応力!$B$6:$K$22,8)*1.1/3*1.3*100,0))</f>
        <v>#VALUE!</v>
      </c>
      <c r="DK30" s="87" t="e">
        <f>ROUND(VLOOKUP(DQ30,許容応力!$B$6:$K$22,8)*100*2/3*0.8,0)</f>
        <v>#VALUE!</v>
      </c>
      <c r="DL30" s="10" t="e">
        <f>IF($DN$6=2,ROUND(VLOOKUP(DQ30,許容応力!$B$6:$K$22,9)*1.1/3*100,0),ROUND(VLOOKUP(DQ30,許容応力!$B$6:$K$22,9)*1.1/3*1.3*100,0))</f>
        <v>#VALUE!</v>
      </c>
      <c r="DM30" s="87" t="e">
        <f>ROUND(VLOOKUP(DQ30,許容応力!$B$6:$K$22,9)*100*2/3*0.8,0)</f>
        <v>#VALUE!</v>
      </c>
      <c r="DN30" s="63">
        <f t="shared" si="7"/>
        <v>200</v>
      </c>
      <c r="DO30" s="63">
        <f>ROUND(I30*100/DN30,2)</f>
        <v>0</v>
      </c>
      <c r="DP30" s="63"/>
      <c r="DQ30" s="63" t="e">
        <f>+VALUE(RIGHT(J30,3))</f>
        <v>#VALUE!</v>
      </c>
      <c r="DR30" s="69">
        <f>ROUND(ATAN(E30/10)*180/PI(),4)</f>
        <v>0</v>
      </c>
      <c r="DS30" s="70">
        <f t="shared" ref="DS30:DS41" si="64">ROUND(COS(DR30*PI()/180),3)</f>
        <v>1</v>
      </c>
      <c r="DT30" s="63">
        <f>VLOOKUP(VALUE(RIGHT(C30,4)),$C$632:$F$641,4)</f>
        <v>200</v>
      </c>
      <c r="DU30" s="63">
        <f>ROUND(I30*100/DT30,2)</f>
        <v>0</v>
      </c>
      <c r="DV30" s="63"/>
      <c r="DW30" s="63"/>
      <c r="DX30" s="87" t="e">
        <f>ROUNDUP((準備!$F$60/100+準備!$E$48/100)*($G30+$H30)/2,2)</f>
        <v>#N/A</v>
      </c>
      <c r="DY30" s="63"/>
      <c r="DZ30" s="63"/>
      <c r="EA30" s="63"/>
      <c r="EB30" s="87" t="e">
        <f>ROUND(CX30*I30/DS30*100/2/AM30,1)</f>
        <v>#DIV/0!</v>
      </c>
      <c r="EC30" s="63" t="e">
        <f t="shared" ref="EC30:EC41" si="65">ROUND(EB30/DL30,2)</f>
        <v>#DIV/0!</v>
      </c>
      <c r="ED30" s="87" t="e">
        <f>ROUND(CY30*I30/DS30*100/2/AM30,1)</f>
        <v>#VALUE!</v>
      </c>
      <c r="EE30" s="63" t="e">
        <f t="shared" ref="EE30:EE41" si="66">ROUND(ED30/DM30,2)</f>
        <v>#VALUE!</v>
      </c>
      <c r="EF30" s="588"/>
      <c r="EG30" s="588"/>
      <c r="EH30" s="63"/>
      <c r="EI30" s="87" t="str">
        <f>IF(M30=0,"",ROUND(CX30*I30/DS30*100/2/DJ30,2))</f>
        <v/>
      </c>
      <c r="EJ30" s="87" t="str">
        <f>IF(M30=0,"",ROUND(CY30*I30/DS30*100/2/DK30,2))</f>
        <v/>
      </c>
      <c r="EK30" s="63"/>
      <c r="EL30" s="63" t="e">
        <f>ROUNDUP(ER30/3,-1)*3</f>
        <v>#VALUE!</v>
      </c>
      <c r="EM30" s="63" t="e">
        <f>ROUNDUP(ES30/3,-1)*3</f>
        <v>#VALUE!</v>
      </c>
      <c r="EO30" s="63" t="e">
        <f>ROUNDUP(EU30/3,-1)*3</f>
        <v>#VALUE!</v>
      </c>
      <c r="EP30" s="63" t="e">
        <f>ROUNDUP(EV30/3,-1)*3</f>
        <v>#VALUE!</v>
      </c>
      <c r="EQ30" s="155" t="e">
        <f t="shared" ref="EQ30:EQ41" si="67">+MAX(EL30:EP30)</f>
        <v>#VALUE!</v>
      </c>
      <c r="ER30" s="63" t="e">
        <f>ROUND(SQRT(EW30/($K30/10)*6/IF(OR($AB30=0,$AB30=1),1,$AB30))*10,0)</f>
        <v>#VALUE!</v>
      </c>
      <c r="ES30" s="63" t="e">
        <f>POWER(ROUND(EX30/($K30/10)*12/IF(OR($AB30=0,$AB30=1),1,$AB30),0),1/3)*10</f>
        <v>#VALUE!</v>
      </c>
      <c r="EU30" s="63" t="e">
        <f>ROUND(SQRT(EZ30/($K30/10)*6/IF(OR($AB30=0,$AB30=1),1,$AB30))*10,0)</f>
        <v>#VALUE!</v>
      </c>
      <c r="EV30" s="63" t="e">
        <f>POWER(ROUND(FA30/($K30/10)*12/IF(OR($AB30=0,$AB30=1),1,$AB30),0),1/3)*10</f>
        <v>#VALUE!</v>
      </c>
      <c r="EW30" s="63" t="e">
        <f>ROUNDUP($CX30*POWER($I30*100,2)/8/$DH30,1)</f>
        <v>#VALUE!</v>
      </c>
      <c r="EX30" s="63" t="e">
        <f>ROUNDUP(5*$CX30*POWER($I30*100,4)/(384*VLOOKUP(VALUE(RIGHT($J30,4)),許容応力!$B$6:$K$22,10)*100*$DO30),2)</f>
        <v>#VALUE!</v>
      </c>
      <c r="EY30" s="63"/>
      <c r="EZ30" s="63" t="e">
        <f>ROUNDUP($CY30*POWER($I30*100,2)/8/$DI30,1)</f>
        <v>#VALUE!</v>
      </c>
      <c r="FA30" s="63" t="e">
        <f>ROUNDUP(5*$CY30*POWER($I30*100,4)/(384*VLOOKUP(VALUE(RIGHT($J30,4)),許容応力!$B$6:$K$22,10)*100*$DU30),2)</f>
        <v>#VALUE!</v>
      </c>
      <c r="FB30" s="57"/>
      <c r="FC30" s="57"/>
      <c r="FD30" s="57"/>
      <c r="FE30" s="57"/>
      <c r="FF30" s="57"/>
      <c r="FG30" s="57"/>
      <c r="FH30" s="57"/>
    </row>
    <row r="31" spans="2:165" ht="15.95" customHeight="1" thickBot="1" x14ac:dyDescent="0.2">
      <c r="B31" s="1588"/>
      <c r="C31" s="1163"/>
      <c r="D31" s="330"/>
      <c r="E31" s="1357"/>
      <c r="F31" s="1166"/>
      <c r="G31" s="1359"/>
      <c r="H31" s="1359"/>
      <c r="I31" s="1358"/>
      <c r="J31" s="1575"/>
      <c r="K31" s="1193">
        <f>+IF(J30=0,0,"丸太末口 φ")</f>
        <v>0</v>
      </c>
      <c r="L31" s="1194"/>
      <c r="M31" s="239">
        <f>IF(J30=0,0,+EQ31)</f>
        <v>0</v>
      </c>
      <c r="N31" s="240" t="str">
        <f t="shared" si="0"/>
        <v/>
      </c>
      <c r="O31" s="1519"/>
      <c r="P31" s="1478"/>
      <c r="Q31" s="1356"/>
      <c r="R31" s="1356"/>
      <c r="S31" s="1623"/>
      <c r="T31" s="1356"/>
      <c r="U31" s="1356"/>
      <c r="V31" s="1019" t="str">
        <f>+T$184</f>
        <v/>
      </c>
      <c r="W31" s="1280"/>
      <c r="X31" s="1506"/>
      <c r="Y31" s="1494"/>
      <c r="Z31" s="1494"/>
      <c r="AA31" s="1493"/>
      <c r="AB31" s="1120"/>
      <c r="AC31" s="206" t="str">
        <f t="shared" si="1"/>
        <v/>
      </c>
      <c r="AD31" s="206" t="str">
        <f t="shared" si="2"/>
        <v/>
      </c>
      <c r="AE31" s="1493"/>
      <c r="AF31" s="206" t="str">
        <f t="shared" si="3"/>
        <v/>
      </c>
      <c r="AG31" s="206" t="str">
        <f t="shared" si="4"/>
        <v/>
      </c>
      <c r="AH31" s="1491"/>
      <c r="AI31" s="817"/>
      <c r="AJ31" s="809"/>
      <c r="AK31" s="822"/>
      <c r="AL31" s="810"/>
      <c r="AM31" s="1301"/>
      <c r="AN31" s="1301"/>
      <c r="AO31" s="1303"/>
      <c r="AP31" s="184">
        <f>+IF(I30=0,0,"1/")</f>
        <v>0</v>
      </c>
      <c r="AQ31" s="185">
        <f>IF(I30=0,0,+DN31)</f>
        <v>0</v>
      </c>
      <c r="AR31" s="23"/>
      <c r="AS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1312"/>
      <c r="CN31" s="1301"/>
      <c r="CO31" s="548"/>
      <c r="CP31" s="9" t="e">
        <f>ROUNDUP(CX31*I30/DS31*100/2/DL31,2)</f>
        <v>#VALUE!</v>
      </c>
      <c r="CQ31" s="9" t="e">
        <f>ROUNDUP(CY31*I30/DS31*100/2/DM31,2)</f>
        <v>#VALUE!</v>
      </c>
      <c r="CR31" s="23" t="e">
        <f t="shared" si="62"/>
        <v>#VALUE!</v>
      </c>
      <c r="CS31" s="9">
        <f>IF(M31=0,0,ROUNDUP(SQRT(AA31*(M31/10-6)*(M31/10-3))/(X31*X31),2))</f>
        <v>0</v>
      </c>
      <c r="CU31" s="63">
        <f t="shared" si="63"/>
        <v>0</v>
      </c>
      <c r="CV31" s="63" t="e">
        <f>ROUNDUP(IF(VALUE(RIGHT($G$3,4))=1,$I$3*30*F30*100,$I$3*20*F30*100),0)</f>
        <v>#VALUE!</v>
      </c>
      <c r="CW31" s="63"/>
      <c r="CX31" s="63">
        <f>ROUNDUP((準備!$G$57/100/DS31+IF(AND(VALUE(RIGHT($G$3,4))=1,$T$3=2),CU31/100*1.2,CU31/100))*(G30+H30)/2,2)</f>
        <v>0</v>
      </c>
      <c r="CY31" s="63" t="e">
        <f>ROUNDUP((準備!$G$57/100/DS31+IF(AND(VALUE(RIGHT($G$3,4))=1,$T$3=2),CV31/100*1.2,CV31/100))*(G30+H30)/2,2)</f>
        <v>#VALUE!</v>
      </c>
      <c r="CZ31" s="63">
        <f>IF(K31=0,0,ROUNDUP($CX31*POWER($I30*100,2)/8/$DF31,1))</f>
        <v>0</v>
      </c>
      <c r="DA31" s="63">
        <f>IF($K31=0,0,ROUNDUP(5*$CX31*POWER($I30*100,4)/(384*VLOOKUP(VALUE(RIGHT($J30,4)),許容応力!$L$6:$U$22,10)*100*$DG31),2))</f>
        <v>0</v>
      </c>
      <c r="DB31" s="78" t="e">
        <f>ROUND((CX31*I30/DS31*100/2+EA31)/Z31,1)</f>
        <v>#DIV/0!</v>
      </c>
      <c r="DC31" s="63" t="e">
        <f>ROUNDUP($CY31*POWER($I30*100,2)/8/$DF31,1)</f>
        <v>#VALUE!</v>
      </c>
      <c r="DD31" s="63" t="e">
        <f>ROUNDUP(5*$CY31*POWER($I30*100,4)/(384*VLOOKUP(VALUE(RIGHT($J30,4)),許容応力!$L$6:$U$22,10)*100*$DG31),2)</f>
        <v>#VALUE!</v>
      </c>
      <c r="DE31" s="78" t="e">
        <f>ROUND((CY31*I30/DS31*100/2+EA31)/Z31,1)</f>
        <v>#VALUE!</v>
      </c>
      <c r="DF31" s="63">
        <f>IF(M31&lt;180,ROUND((M31/10-3)*POWER(M31/10-3,2)/6*IF(AB31=0,1,AB31),0),ROUND((M31/10-5)*POWER(M31/10-3,2)/6*IF($AB31=0,1,$AB31),0))</f>
        <v>-5</v>
      </c>
      <c r="DG31" s="63">
        <f>ROUND(IF(M31&lt;180,(M31/10-3)*POWER((M31/10-3),3)/12*IF(AB31=0,1,AB31),(M31/10-5))*POWER((M31/10-3),3)/12*IF(AB31=0,1,AB31),0)</f>
        <v>-15</v>
      </c>
      <c r="DH31" s="10" t="e">
        <f>IF($DN$6=2,ROUND(VLOOKUP(DQ31,許容応力!$L$6:$U$22,7)*1.1/3*100,0),ROUND(VLOOKUP(DQ31,許容応力!$L$6:$U$22,7)*1.1/3*1.3*100,0))</f>
        <v>#VALUE!</v>
      </c>
      <c r="DI31" s="63" t="e">
        <f>ROUND(VLOOKUP(DQ31,許容応力!$L$6:$U$22,7)*100*2/3*0.8,0)</f>
        <v>#VALUE!</v>
      </c>
      <c r="DJ31" s="10" t="e">
        <f>IF($DN$6=2,ROUND(VLOOKUP(DQ31,許容応力!$L$6:$U$22,8)*1.1/3*100,0),ROUND(VLOOKUP(DQ31,許容応力!$L$6:$U$22,8)*1.1/3*1.3*100,0))</f>
        <v>#VALUE!</v>
      </c>
      <c r="DK31" s="63" t="e">
        <f>ROUND(VLOOKUP(DQ31,許容応力!$L$6:$U$22,8)*100*2/3*0.8,0)</f>
        <v>#VALUE!</v>
      </c>
      <c r="DL31" s="10" t="e">
        <f>IF($DN$6=2,ROUND(VLOOKUP(DQ31,許容応力!$L$6:$U$22,9)*1.1/3*100,0),ROUND(VLOOKUP(DQ31,許容応力!$L$6:$U$22,9)*1.1/3*1.3*100,0))</f>
        <v>#VALUE!</v>
      </c>
      <c r="DM31" s="63" t="e">
        <f>ROUND(VLOOKUP(DQ31,許容応力!$L$6:$U$22,9)*100*2/3*0.8,0)</f>
        <v>#VALUE!</v>
      </c>
      <c r="DN31" s="63">
        <f t="shared" si="7"/>
        <v>200</v>
      </c>
      <c r="DO31" s="63">
        <f>ROUND(I30*100/DN31,2)</f>
        <v>0</v>
      </c>
      <c r="DP31" s="63"/>
      <c r="DQ31" s="63" t="e">
        <f>+VALUE(RIGHT(J30,3))</f>
        <v>#VALUE!</v>
      </c>
      <c r="DR31" s="69">
        <f>ROUND(ATAN(E30/10)*180/PI(),4)</f>
        <v>0</v>
      </c>
      <c r="DS31" s="70">
        <f t="shared" si="64"/>
        <v>1</v>
      </c>
      <c r="DT31" s="63">
        <f>VLOOKUP(VALUE(RIGHT(C30,4)),$C$632:$F$641,4)</f>
        <v>200</v>
      </c>
      <c r="DU31" s="63">
        <f>ROUND(I30*100/DT31,2)</f>
        <v>0</v>
      </c>
      <c r="DV31" s="63"/>
      <c r="DW31" s="63"/>
      <c r="DX31" s="78" t="e">
        <f>ROUNDUP((準備!$F$60/100+準備!$E$48/100)*($G30+$H30)/2,2)</f>
        <v>#N/A</v>
      </c>
      <c r="DY31" s="71">
        <f>IF(I30&lt;6,POWER(M31/10,2)*I30/10000,POWER((M31/10+(ROUNDDOWN(I30,0)-4)/2),2)*I30/10000)</f>
        <v>0</v>
      </c>
      <c r="DZ31" s="63">
        <v>200</v>
      </c>
      <c r="EA31" s="84">
        <f>ROUND(DY31*DZ31/100,0)</f>
        <v>0</v>
      </c>
      <c r="EB31" s="78" t="e">
        <f>ROUND((CX31*I30/DS31*100/2+EA31)/AM31,1)</f>
        <v>#DIV/0!</v>
      </c>
      <c r="EC31" s="63" t="e">
        <f t="shared" si="65"/>
        <v>#DIV/0!</v>
      </c>
      <c r="ED31" s="78" t="e">
        <f>ROUND((CY31*I30/DS31*100/2+EA31)/AM31,1)</f>
        <v>#VALUE!</v>
      </c>
      <c r="EE31" s="63" t="e">
        <f t="shared" si="66"/>
        <v>#VALUE!</v>
      </c>
      <c r="EF31" s="63"/>
      <c r="EG31" s="63"/>
      <c r="EH31" s="588"/>
      <c r="EI31" s="78" t="str">
        <f>IF(M31=0,"",ROUND(CX31*I30/DS31*100/2/DJ31,2))</f>
        <v/>
      </c>
      <c r="EJ31" s="78" t="str">
        <f>IF(M31=0,"",ROUND(CY31*I30/DS31*100/2/DK31,2))</f>
        <v/>
      </c>
      <c r="EK31" s="63"/>
      <c r="EL31" s="63" t="e">
        <f>IF(AB31=0.8,VLOOKUP(ER31,$CR$395:$CS$439,2),IF(AB31=0.9,VLOOKUP(ER31,$CR$348:$CS$394,2),VLOOKUP(ER31,$CR$301:$CS$344,2)))</f>
        <v>#VALUE!</v>
      </c>
      <c r="EM31" s="63" t="e">
        <f>IF(AB31=0.8,VLOOKUP(ES31,$CT$395:$CU$439,2),IF(AB31=0.9,VLOOKUP(ES31,$CT$348:$CU$394,2),VLOOKUP(ES31,$CT$301:$CU$344,2)))</f>
        <v>#VALUE!</v>
      </c>
      <c r="EO31" s="63" t="e">
        <f>IF(AB31=0.8,VLOOKUP(EU31,$CR$395:$CS$439,2),IF(AB31=0.9,VLOOKUP(EU31,$CR$348:$CS$394,2),VLOOKUP(EU31,$CR$301:$CS$344,2)))</f>
        <v>#VALUE!</v>
      </c>
      <c r="EP31" s="63" t="e">
        <f>IF(AB31=0.8,VLOOKUP(EV31,$CT$395:$CU$439,2),IF(AB31=0.9,VLOOKUP(EV31,$CT$348:$CU$394,2),VLOOKUP(EV31,$CT$301:$CU$344,2)))</f>
        <v>#VALUE!</v>
      </c>
      <c r="EQ31" s="155" t="e">
        <f t="shared" si="67"/>
        <v>#VALUE!</v>
      </c>
      <c r="ER31" s="63" t="e">
        <f>ROUNDUP($CX31*POWER($I30*100,2)/8/$DH31,1)</f>
        <v>#VALUE!</v>
      </c>
      <c r="ES31" s="63" t="e">
        <f>ROUNDUP(5*$CX31*POWER($I30*100,4)/(384*VLOOKUP(VALUE(RIGHT($J30,4)),許容応力!$B$6:$K$22,10)*100*$DO31),2)</f>
        <v>#VALUE!</v>
      </c>
      <c r="ET31" s="63"/>
      <c r="EU31" s="63" t="e">
        <f>ROUNDUP($CY31*POWER($I30*100,2)/8/$DI31,1)</f>
        <v>#VALUE!</v>
      </c>
      <c r="EV31" s="63" t="e">
        <f>ROUNDUP(5*$CY31*POWER($I30*100,4)/(384*VLOOKUP(VALUE(RIGHT($J30,4)),許容応力!$B$6:$K$22,10)*100*$DU31),2)</f>
        <v>#VALUE!</v>
      </c>
      <c r="EW31" s="63"/>
      <c r="EX31" s="63"/>
      <c r="EY31" s="63"/>
      <c r="EZ31" s="63"/>
      <c r="FA31" s="63"/>
      <c r="FB31" s="57"/>
      <c r="FC31" s="57"/>
      <c r="FD31" s="57"/>
      <c r="FE31" s="57"/>
      <c r="FF31" s="57"/>
      <c r="FG31" s="57"/>
      <c r="FH31" s="57"/>
    </row>
    <row r="32" spans="2:165" ht="15.95" customHeight="1" x14ac:dyDescent="0.15">
      <c r="B32" s="1588"/>
      <c r="C32" s="1163" t="s">
        <v>811</v>
      </c>
      <c r="D32" s="331"/>
      <c r="E32" s="1357"/>
      <c r="F32" s="1165" t="str">
        <f>IF(E32=0,"",ROUND(SQRT(COS(DR32*1.5*PI()/180)),3))</f>
        <v/>
      </c>
      <c r="G32" s="1359"/>
      <c r="H32" s="1359"/>
      <c r="I32" s="1516"/>
      <c r="J32" s="1521"/>
      <c r="K32" s="1116"/>
      <c r="L32" s="196">
        <f>+IF(K32=0,0,"×")</f>
        <v>0</v>
      </c>
      <c r="M32" s="241">
        <f>IF(K32=0,0,+EQ32)</f>
        <v>0</v>
      </c>
      <c r="N32" s="242" t="str">
        <f t="shared" si="0"/>
        <v/>
      </c>
      <c r="O32" s="1520">
        <f t="shared" ref="O32" si="68">IF(Z32=0,0,IF(AND(U32=0,X32=0),0,IF(IF(AE32&gt;=AH32,AE32,AH32)&lt;=1,"OK!","NO!")))</f>
        <v>0</v>
      </c>
      <c r="P32" s="1478"/>
      <c r="Q32" s="1572"/>
      <c r="R32" s="1572"/>
      <c r="S32" s="1616">
        <f t="shared" ref="S32" si="69">+IF(R32=0,0,6)</f>
        <v>0</v>
      </c>
      <c r="T32" s="1572"/>
      <c r="U32" s="1572"/>
      <c r="V32" s="196" t="str">
        <f>+U$185</f>
        <v/>
      </c>
      <c r="W32" s="1321">
        <f>IF(U32=0,0,+VLOOKUP(V32,$I$204:$J$209,2))</f>
        <v>0</v>
      </c>
      <c r="X32" s="1496"/>
      <c r="Y32" s="1311">
        <f>IF(X32=0,0,+CS32)</f>
        <v>0</v>
      </c>
      <c r="Z32" s="1313">
        <f>IF(AND(R32=0,X32=0),0,+IF(AND(VALUE(RIGHT(P32,4))=2,R32&gt;0),0,IF(AND(VALUE(RIGHT(P32,4))=1,X32&gt;0),0,CM32)))</f>
        <v>0</v>
      </c>
      <c r="AA32" s="1314">
        <f>IF(X32=0,0,IF(EI32&gt;=EJ32,EI32,EJ32))</f>
        <v>0</v>
      </c>
      <c r="AB32" s="1121"/>
      <c r="AC32" s="201" t="str">
        <f t="shared" si="1"/>
        <v/>
      </c>
      <c r="AD32" s="201" t="str">
        <f t="shared" si="2"/>
        <v/>
      </c>
      <c r="AE32" s="1314">
        <f>IF(F32=+"",0,IF(AND(U32=0,X32=0),0,IF(X32=0,ROUND(DB32/(DJ32*$CP$4*W32),2),ROUND(DB32/DJ32,2))))</f>
        <v>0</v>
      </c>
      <c r="AF32" s="201" t="str">
        <f t="shared" si="3"/>
        <v/>
      </c>
      <c r="AG32" s="201" t="str">
        <f t="shared" si="4"/>
        <v/>
      </c>
      <c r="AH32" s="1314">
        <f>IF(F32=+"",0,IF(AND(U32=0,X32=0),0,IF(X32=0,ROUND(DE32/(DK32*$CP$4*W32),2),ROUND(DE32/DK32,2))))</f>
        <v>0</v>
      </c>
      <c r="AI32" s="818"/>
      <c r="AJ32" s="811"/>
      <c r="AK32" s="823"/>
      <c r="AL32" s="812"/>
      <c r="AM32" s="1300">
        <f>IF(AI32=0,0,ROUND(AI32*AJ32+AK32*AL32+AI33*AJ33+AK33*AL33,2))</f>
        <v>0</v>
      </c>
      <c r="AN32" s="1300">
        <f t="shared" ref="AN32" si="70">IF(AJ32=0,0,IF(CO32=1,CN32/($CP$4*W32),CN32))</f>
        <v>0</v>
      </c>
      <c r="AO32" s="1302" t="str">
        <f t="shared" ref="AO32" si="71">IF(AN32=0,"",IF(AN32&lt;=1,"OK!","NO!"))</f>
        <v/>
      </c>
      <c r="AP32" s="182">
        <f>+IF(I32=0,0,"1/")</f>
        <v>0</v>
      </c>
      <c r="AQ32" s="183">
        <f>IF(I32=0,0,+DN32)</f>
        <v>0</v>
      </c>
      <c r="AR32" s="23"/>
      <c r="AS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1313">
        <f>IF(AND(U32=0,X32=0),0,IF(U32&gt;0,U$196/100*$CP$4*W32,ROUND(POWER(X32*Y32,2)/(K32/10*M32/10),2)))</f>
        <v>0</v>
      </c>
      <c r="CN32" s="1304" t="str">
        <f>IF($AJ32=0,"",IF($EC32&gt;=$EE32,$EC32,$EE32))</f>
        <v/>
      </c>
      <c r="CO32" s="552">
        <f>IF(P32=0,0,+VALUE(RIGHT(P32,4)))</f>
        <v>0</v>
      </c>
      <c r="CP32" s="91" t="e">
        <f>ROUNDUP(CX32*I32/DS32*100/2/DL32,2)</f>
        <v>#VALUE!</v>
      </c>
      <c r="CQ32" s="91" t="e">
        <f>ROUNDUP(CY32*I32/DS32*100/2/DM32,2)</f>
        <v>#VALUE!</v>
      </c>
      <c r="CR32" s="23" t="e">
        <f t="shared" si="62"/>
        <v>#VALUE!</v>
      </c>
      <c r="CS32" s="9">
        <f>IF(M32=0,0,ROUNDUP(SQRT((AA32*K32/10*M32/10)/(X32*X32)),2))</f>
        <v>0</v>
      </c>
      <c r="CU32" s="63">
        <f t="shared" si="63"/>
        <v>0</v>
      </c>
      <c r="CV32" s="63" t="e">
        <f>ROUNDUP(IF(VALUE(RIGHT($G$3,4))=1,$I$3*30*F32*100,$I$3*20*F32*100),0)</f>
        <v>#VALUE!</v>
      </c>
      <c r="CW32" s="63"/>
      <c r="CX32" s="63">
        <f>ROUNDUP((準備!$G$57/100/DS32+IF(AND(VALUE(RIGHT($G$3,4))=1,$T$3=2),CU32/100*1.2,CU32/100))*(G32+H32)/2,2)</f>
        <v>0</v>
      </c>
      <c r="CY32" s="63" t="e">
        <f>ROUNDUP((準備!$G$57/100/DS32+IF(AND(VALUE(RIGHT($G$3,4))=1,$T$3=2),CV32/100*1.2,CV32/100))*(G32+H32)/2,2)</f>
        <v>#VALUE!</v>
      </c>
      <c r="CZ32" s="63" t="e">
        <f>ROUNDUP($CX32*POWER($I32*100,2)/8/$DF32,1)</f>
        <v>#DIV/0!</v>
      </c>
      <c r="DA32" s="63" t="e">
        <f>ROUNDUP(5*$CX32*POWER($I32*100,4)/(384*VLOOKUP(VALUE(RIGHT($J32,4)),許容応力!$B$6:$K$22,10)*100*$DG32),2)</f>
        <v>#VALUE!</v>
      </c>
      <c r="DB32" s="87" t="e">
        <f>ROUND(CX32*I32/DS32*100/2/Z32,1)</f>
        <v>#DIV/0!</v>
      </c>
      <c r="DC32" s="63" t="e">
        <f>ROUNDUP($CY32*POWER($I32*100,2)/8/$DF32,1)</f>
        <v>#VALUE!</v>
      </c>
      <c r="DD32" s="63" t="e">
        <f>ROUNDUP(5*$CY32*POWER($I32*100,4)/(384*VLOOKUP(VALUE(RIGHT($J32,4)),許容応力!$B$6:$K$22,10)*100*$DG32),2)</f>
        <v>#VALUE!</v>
      </c>
      <c r="DE32" s="87" t="e">
        <f>ROUND(CY32*I32/DS32*100/2/Z32,1)</f>
        <v>#VALUE!</v>
      </c>
      <c r="DF32" s="63">
        <f>ROUNDDOWN($K32/10*POWER($M32/10,2)/6*IF(OR($AB32=0,$AB32=1),1,$AB32),0)</f>
        <v>0</v>
      </c>
      <c r="DG32" s="63">
        <f>ROUNDDOWN($K32/10*POWER($M32/10,3)/12*IF(OR($AB32=0,$AB32=1),1,$AB32),0)</f>
        <v>0</v>
      </c>
      <c r="DH32" s="10" t="e">
        <f>IF($DN$6=2,ROUND(VLOOKUP(DQ32,許容応力!$B$6:$K$22,7)*1.1/3*100,0),ROUND(VLOOKUP(DQ32,許容応力!$B$6:$K$22,7)*1.1/3*1.3*100,0))</f>
        <v>#VALUE!</v>
      </c>
      <c r="DI32" s="87" t="e">
        <f>ROUND(VLOOKUP(DQ32,許容応力!$B$6:$K$22,7)*100*2/3*0.8,0)</f>
        <v>#VALUE!</v>
      </c>
      <c r="DJ32" s="10" t="e">
        <f>IF($DN$6=2,ROUND(VLOOKUP(DQ32,許容応力!$B$6:$K$22,8)*1.1/3*100,0),ROUND(VLOOKUP(DQ32,許容応力!$B$6:$K$22,8)*1.1/3*1.3*100,0))</f>
        <v>#VALUE!</v>
      </c>
      <c r="DK32" s="87" t="e">
        <f>ROUND(VLOOKUP(DQ32,許容応力!$B$6:$K$22,8)*100*2/3*0.8,0)</f>
        <v>#VALUE!</v>
      </c>
      <c r="DL32" s="10" t="e">
        <f>IF($DN$6=2,ROUND(VLOOKUP(DQ32,許容応力!$B$6:$K$22,9)*1.1/3*100,0),ROUND(VLOOKUP(DQ32,許容応力!$B$6:$K$22,9)*1.1/3*1.3*100,0))</f>
        <v>#VALUE!</v>
      </c>
      <c r="DM32" s="87" t="e">
        <f>ROUND(VLOOKUP(DQ32,許容応力!$B$6:$K$22,9)*100*2/3*0.8,0)</f>
        <v>#VALUE!</v>
      </c>
      <c r="DN32" s="63">
        <f t="shared" si="7"/>
        <v>200</v>
      </c>
      <c r="DO32" s="63">
        <f>ROUND(I32*100/DN32,2)</f>
        <v>0</v>
      </c>
      <c r="DP32" s="63"/>
      <c r="DQ32" s="63" t="e">
        <f>+VALUE(RIGHT(J32,3))</f>
        <v>#VALUE!</v>
      </c>
      <c r="DR32" s="69">
        <f>ROUND(ATAN(E32/10)*180/PI(),4)</f>
        <v>0</v>
      </c>
      <c r="DS32" s="70">
        <f t="shared" si="64"/>
        <v>1</v>
      </c>
      <c r="DT32" s="63">
        <f>VLOOKUP(VALUE(RIGHT(C32,4)),$C$632:$F$641,4)</f>
        <v>200</v>
      </c>
      <c r="DU32" s="63">
        <f>ROUND(I32*100/DT32,2)</f>
        <v>0</v>
      </c>
      <c r="DV32" s="63"/>
      <c r="DW32" s="63"/>
      <c r="DX32" s="87" t="e">
        <f>ROUNDUP((準備!$F$60/100+準備!$E$48/100)*($G32+$H32)/2,2)</f>
        <v>#N/A</v>
      </c>
      <c r="DY32" s="63"/>
      <c r="DZ32" s="63"/>
      <c r="EA32" s="63"/>
      <c r="EB32" s="87" t="e">
        <f>ROUND(CX32*I32/DS32*100/2/AM32,1)</f>
        <v>#DIV/0!</v>
      </c>
      <c r="EC32" s="63" t="e">
        <f t="shared" si="65"/>
        <v>#DIV/0!</v>
      </c>
      <c r="ED32" s="87" t="e">
        <f>ROUND(CY32*I32/DS32*100/2/AM32,1)</f>
        <v>#VALUE!</v>
      </c>
      <c r="EE32" s="63" t="e">
        <f t="shared" si="66"/>
        <v>#VALUE!</v>
      </c>
      <c r="EF32" s="588"/>
      <c r="EG32" s="588"/>
      <c r="EH32" s="63"/>
      <c r="EI32" s="87" t="str">
        <f>IF(M32=0,"",ROUND(CX32*I32/DS32*100/2/DJ32,2))</f>
        <v/>
      </c>
      <c r="EJ32" s="87" t="str">
        <f>IF(M32=0,"",ROUND(CY32*I32/DS32*100/2/DK32,2))</f>
        <v/>
      </c>
      <c r="EK32" s="63"/>
      <c r="EL32" s="63" t="e">
        <f>ROUNDUP(ER32/3,-1)*3</f>
        <v>#VALUE!</v>
      </c>
      <c r="EM32" s="63" t="e">
        <f>ROUNDUP(ES32/3,-1)*3</f>
        <v>#VALUE!</v>
      </c>
      <c r="EO32" s="63" t="e">
        <f>ROUNDUP(EU32/3,-1)*3</f>
        <v>#VALUE!</v>
      </c>
      <c r="EP32" s="63" t="e">
        <f>ROUNDUP(EV32/3,-1)*3</f>
        <v>#VALUE!</v>
      </c>
      <c r="EQ32" s="155" t="e">
        <f t="shared" si="67"/>
        <v>#VALUE!</v>
      </c>
      <c r="ER32" s="63" t="e">
        <f>ROUND(SQRT(EW32/($K32/10)*6/IF(OR($AB32=0,$AB32=1),1,$AB32))*10,0)</f>
        <v>#VALUE!</v>
      </c>
      <c r="ES32" s="63" t="e">
        <f>POWER(ROUND(EX32/($K32/10)*12/IF(OR($AB32=0,$AB32=1),1,$AB32),0),1/3)*10</f>
        <v>#VALUE!</v>
      </c>
      <c r="EU32" s="63" t="e">
        <f>ROUND(SQRT(EZ32/($K32/10)*6/IF(OR($AB32=0,$AB32=1),1,$AB32))*10,0)</f>
        <v>#VALUE!</v>
      </c>
      <c r="EV32" s="63" t="e">
        <f>POWER(ROUND(FA32/($K32/10)*12/IF(OR($AB32=0,$AB32=1),1,$AB32),0),1/3)*10</f>
        <v>#VALUE!</v>
      </c>
      <c r="EW32" s="63" t="e">
        <f>ROUNDUP($CX32*POWER($I32*100,2)/8/$DH32,1)</f>
        <v>#VALUE!</v>
      </c>
      <c r="EX32" s="63" t="e">
        <f>ROUNDUP(5*$CX32*POWER($I32*100,4)/(384*VLOOKUP(VALUE(RIGHT($J32,4)),許容応力!$B$6:$K$22,10)*100*$DO32),2)</f>
        <v>#VALUE!</v>
      </c>
      <c r="EY32" s="63"/>
      <c r="EZ32" s="63" t="e">
        <f>ROUNDUP($CY32*POWER($I32*100,2)/8/$DI32,1)</f>
        <v>#VALUE!</v>
      </c>
      <c r="FA32" s="63" t="e">
        <f>ROUNDUP(5*$CY32*POWER($I32*100,4)/(384*VLOOKUP(VALUE(RIGHT($J32,4)),許容応力!$B$6:$K$22,10)*100*$DU32),2)</f>
        <v>#VALUE!</v>
      </c>
      <c r="FB32" s="57"/>
      <c r="FC32" s="57"/>
      <c r="FD32" s="57"/>
      <c r="FE32" s="57"/>
      <c r="FF32" s="57"/>
      <c r="FG32" s="57"/>
      <c r="FH32" s="57"/>
    </row>
    <row r="33" spans="2:187" ht="15.95" customHeight="1" thickBot="1" x14ac:dyDescent="0.2">
      <c r="B33" s="1588"/>
      <c r="C33" s="1163"/>
      <c r="D33" s="330"/>
      <c r="E33" s="1357"/>
      <c r="F33" s="1166"/>
      <c r="G33" s="1359"/>
      <c r="H33" s="1359"/>
      <c r="I33" s="1359"/>
      <c r="J33" s="1521"/>
      <c r="K33" s="1193">
        <f>+IF(J32=0,0,"丸太末口 φ")</f>
        <v>0</v>
      </c>
      <c r="L33" s="1194"/>
      <c r="M33" s="239">
        <f>IF(J32=0,0,+EQ33)</f>
        <v>0</v>
      </c>
      <c r="N33" s="240" t="str">
        <f t="shared" si="0"/>
        <v/>
      </c>
      <c r="O33" s="1519"/>
      <c r="P33" s="1478"/>
      <c r="Q33" s="1572"/>
      <c r="R33" s="1572"/>
      <c r="S33" s="1617"/>
      <c r="T33" s="1572"/>
      <c r="U33" s="1572"/>
      <c r="V33" s="1019" t="str">
        <f>+U$184</f>
        <v/>
      </c>
      <c r="W33" s="1321"/>
      <c r="X33" s="1507"/>
      <c r="Y33" s="1312"/>
      <c r="Z33" s="1312"/>
      <c r="AA33" s="1254"/>
      <c r="AB33" s="1120"/>
      <c r="AC33" s="206" t="str">
        <f t="shared" si="1"/>
        <v/>
      </c>
      <c r="AD33" s="206" t="str">
        <f t="shared" si="2"/>
        <v/>
      </c>
      <c r="AE33" s="1254"/>
      <c r="AF33" s="206" t="str">
        <f t="shared" si="3"/>
        <v/>
      </c>
      <c r="AG33" s="206" t="str">
        <f t="shared" si="4"/>
        <v/>
      </c>
      <c r="AH33" s="1470"/>
      <c r="AI33" s="817"/>
      <c r="AJ33" s="809"/>
      <c r="AK33" s="822"/>
      <c r="AL33" s="810"/>
      <c r="AM33" s="1301"/>
      <c r="AN33" s="1301"/>
      <c r="AO33" s="1303"/>
      <c r="AP33" s="184">
        <f>+IF(I32=0,0,"1/")</f>
        <v>0</v>
      </c>
      <c r="AQ33" s="185">
        <f>IF(I32=0,0,+DN33)</f>
        <v>0</v>
      </c>
      <c r="AR33" s="23"/>
      <c r="AS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1312"/>
      <c r="CN33" s="1301"/>
      <c r="CO33" s="548"/>
      <c r="CP33" s="9" t="e">
        <f>ROUNDUP(CX33*I32/DS33*100/2/DL33,2)</f>
        <v>#VALUE!</v>
      </c>
      <c r="CQ33" s="9" t="e">
        <f>ROUNDUP(CY33*I32/DS33*100/2/DM33,2)</f>
        <v>#VALUE!</v>
      </c>
      <c r="CR33" s="23" t="e">
        <f t="shared" si="62"/>
        <v>#VALUE!</v>
      </c>
      <c r="CS33" s="9">
        <f>IF(M33=0,0,ROUNDUP(SQRT(AA33*(M33/10-6)*(M33/10-3))/(X33*X33),2))</f>
        <v>0</v>
      </c>
      <c r="CU33" s="63">
        <f t="shared" si="63"/>
        <v>0</v>
      </c>
      <c r="CV33" s="63" t="e">
        <f>ROUNDUP(IF(VALUE(RIGHT($G$3,4))=1,$I$3*30*F32*100,$I$3*20*F32*100),0)</f>
        <v>#VALUE!</v>
      </c>
      <c r="CW33" s="63"/>
      <c r="CX33" s="63">
        <f>ROUNDUP((準備!$G$57/100/DS33+IF(AND(VALUE(RIGHT($G$3,4))=1,$T$3=2),CU33/100*1.2,CU33/100))*(G32+H32)/2,2)</f>
        <v>0</v>
      </c>
      <c r="CY33" s="63" t="e">
        <f>ROUNDUP((準備!$G$57/100/DS33+IF(AND(VALUE(RIGHT($G$3,4))=1,$T$3=2),CV33/100*1.2,CV33/100))*(G32+H32)/2,2)</f>
        <v>#VALUE!</v>
      </c>
      <c r="CZ33" s="63">
        <f>IF(K33=0,0,ROUNDUP($CX33*POWER($I32*100,2)/8/$DF33,1))</f>
        <v>0</v>
      </c>
      <c r="DA33" s="63">
        <f>IF($K33=0,0,ROUNDUP(5*$CX33*POWER($I32*100,4)/(384*VLOOKUP(VALUE(RIGHT($J32,4)),許容応力!$L$6:$U$22,10)*100*$DG33),2))</f>
        <v>0</v>
      </c>
      <c r="DB33" s="78" t="e">
        <f>ROUND((CX33*I32/DS33*100/2+EA33)/Z33,1)</f>
        <v>#DIV/0!</v>
      </c>
      <c r="DC33" s="63" t="e">
        <f>ROUNDUP($CY33*POWER($I32*100,2)/8/$DF33,1)</f>
        <v>#VALUE!</v>
      </c>
      <c r="DD33" s="63" t="e">
        <f>ROUNDUP(5*$CY33*POWER($I32*100,4)/(384*VLOOKUP(VALUE(RIGHT($J32,4)),許容応力!$L$6:$U$22,10)*100*$DG33),2)</f>
        <v>#VALUE!</v>
      </c>
      <c r="DE33" s="78" t="e">
        <f>ROUND((CY33*I32/DS33*100/2+EA33)/Z33,1)</f>
        <v>#VALUE!</v>
      </c>
      <c r="DF33" s="63">
        <f>IF(M33&lt;180,ROUND((M33/10-3)*POWER(M33/10-3,2)/6*IF(AB33=0,1,AB33),0),ROUND((M33/10-5)*POWER(M33/10-3,2)/6*IF($AB33=0,1,$AB33),0))</f>
        <v>-5</v>
      </c>
      <c r="DG33" s="63">
        <f>ROUND(IF(M33&lt;180,(M33/10-3)*POWER((M33/10-3),3)/12*IF(AB33=0,1,AB33),(M33/10-5))*POWER((M33/10-3),3)/12*IF(AB33=0,1,AB33),0)</f>
        <v>-15</v>
      </c>
      <c r="DH33" s="10" t="e">
        <f>IF($DN$6=2,ROUND(VLOOKUP(DQ33,許容応力!$L$6:$U$22,7)*1.1/3*100,0),ROUND(VLOOKUP(DQ33,許容応力!$L$6:$U$22,7)*1.1/3*1.3*100,0))</f>
        <v>#VALUE!</v>
      </c>
      <c r="DI33" s="63" t="e">
        <f>ROUND(VLOOKUP(DQ33,許容応力!$L$6:$U$22,7)*100*2/3*0.8,0)</f>
        <v>#VALUE!</v>
      </c>
      <c r="DJ33" s="10" t="e">
        <f>IF($DN$6=2,ROUND(VLOOKUP(DQ33,許容応力!$L$6:$U$22,8)*1.1/3*100,0),ROUND(VLOOKUP(DQ33,許容応力!$L$6:$U$22,8)*1.1/3*1.3*100,0))</f>
        <v>#VALUE!</v>
      </c>
      <c r="DK33" s="63" t="e">
        <f>ROUND(VLOOKUP(DQ33,許容応力!$L$6:$U$22,8)*100*2/3*0.8,0)</f>
        <v>#VALUE!</v>
      </c>
      <c r="DL33" s="10" t="e">
        <f>IF($DN$6=2,ROUND(VLOOKUP(DQ33,許容応力!$L$6:$U$22,9)*1.1/3*100,0),ROUND(VLOOKUP(DQ33,許容応力!$L$6:$U$22,9)*1.1/3*1.3*100,0))</f>
        <v>#VALUE!</v>
      </c>
      <c r="DM33" s="63" t="e">
        <f>ROUND(VLOOKUP(DQ33,許容応力!$L$6:$U$22,9)*100*2/3*0.8,0)</f>
        <v>#VALUE!</v>
      </c>
      <c r="DN33" s="63">
        <f t="shared" si="7"/>
        <v>200</v>
      </c>
      <c r="DO33" s="63">
        <f>ROUND(I32*100/DN33,2)</f>
        <v>0</v>
      </c>
      <c r="DP33" s="63"/>
      <c r="DQ33" s="63" t="e">
        <f>+VALUE(RIGHT(J32,3))</f>
        <v>#VALUE!</v>
      </c>
      <c r="DR33" s="69">
        <f>ROUND(ATAN(E32/10)*180/PI(),4)</f>
        <v>0</v>
      </c>
      <c r="DS33" s="70">
        <f t="shared" si="64"/>
        <v>1</v>
      </c>
      <c r="DT33" s="63">
        <f>VLOOKUP(VALUE(RIGHT(C32,4)),$C$632:$F$641,4)</f>
        <v>200</v>
      </c>
      <c r="DU33" s="63">
        <f>ROUND(I32*100/DT33,2)</f>
        <v>0</v>
      </c>
      <c r="DV33" s="63"/>
      <c r="DW33" s="63"/>
      <c r="DX33" s="78" t="e">
        <f>ROUNDUP((準備!$F$60/100+準備!$E$48/100)*($G32+$H32)/2,2)</f>
        <v>#N/A</v>
      </c>
      <c r="DY33" s="71">
        <f>IF(I32&lt;6,POWER(M33/10,2)*I32/10000,POWER((M33/10+(ROUNDDOWN(I32,0)-4)/2),2)*I32/10000)</f>
        <v>0</v>
      </c>
      <c r="DZ33" s="63">
        <v>200</v>
      </c>
      <c r="EA33" s="84">
        <f>ROUND(DY33*DZ33/100,0)</f>
        <v>0</v>
      </c>
      <c r="EB33" s="78" t="e">
        <f>ROUND((CX33*I32/DS33*100/2+EA33)/AM33,1)</f>
        <v>#DIV/0!</v>
      </c>
      <c r="EC33" s="63" t="e">
        <f t="shared" si="65"/>
        <v>#DIV/0!</v>
      </c>
      <c r="ED33" s="78" t="e">
        <f>ROUND((CY33*I32/DS33*100/2+EA33)/AM33,1)</f>
        <v>#VALUE!</v>
      </c>
      <c r="EE33" s="63" t="e">
        <f t="shared" si="66"/>
        <v>#VALUE!</v>
      </c>
      <c r="EF33" s="63"/>
      <c r="EG33" s="63"/>
      <c r="EH33" s="588"/>
      <c r="EI33" s="78" t="str">
        <f>IF(M33=0,"",ROUND(CX33*I32/DS33*100/2/DJ33,2))</f>
        <v/>
      </c>
      <c r="EJ33" s="78" t="str">
        <f>IF(M33=0,"",ROUND(CY33*I32/DS33*100/2/DK33,2))</f>
        <v/>
      </c>
      <c r="EK33" s="63"/>
      <c r="EL33" s="63" t="e">
        <f>IF(AB33=0.8,VLOOKUP(ER33,$CR$395:$CS$439,2),IF(AB33=0.9,VLOOKUP(ER33,$CR$348:$CS$394,2),VLOOKUP(ER33,$CR$301:$CS$344,2)))</f>
        <v>#VALUE!</v>
      </c>
      <c r="EM33" s="63" t="e">
        <f>IF(AB33=0.8,VLOOKUP(ES33,$CT$395:$CU$439,2),IF(AB33=0.9,VLOOKUP(ES33,$CT$348:$CU$394,2),VLOOKUP(ES33,$CT$301:$CU$344,2)))</f>
        <v>#VALUE!</v>
      </c>
      <c r="EO33" s="63" t="e">
        <f>IF(AB33=0.8,VLOOKUP(EU33,$CR$395:$CS$439,2),IF(AB33=0.9,VLOOKUP(EU33,$CR$348:$CS$394,2),VLOOKUP(EU33,$CR$301:$CS$344,2)))</f>
        <v>#VALUE!</v>
      </c>
      <c r="EP33" s="63" t="e">
        <f>IF(AB33=0.8,VLOOKUP(EV33,$CT$395:$CU$439,2),IF(AB33=0.9,VLOOKUP(EV33,$CT$348:$CU$394,2),VLOOKUP(EV33,$CT$301:$CU$344,2)))</f>
        <v>#VALUE!</v>
      </c>
      <c r="EQ33" s="155" t="e">
        <f t="shared" si="67"/>
        <v>#VALUE!</v>
      </c>
      <c r="ER33" s="63" t="e">
        <f>ROUNDUP($CX33*POWER($I32*100,2)/8/$DH33,1)</f>
        <v>#VALUE!</v>
      </c>
      <c r="ES33" s="63" t="e">
        <f>ROUNDUP(5*$CX33*POWER($I32*100,4)/(384*VLOOKUP(VALUE(RIGHT($J32,4)),許容応力!$B$6:$K$22,10)*100*$DO33),2)</f>
        <v>#VALUE!</v>
      </c>
      <c r="ET33" s="63"/>
      <c r="EU33" s="63" t="e">
        <f>ROUNDUP($CY33*POWER($I32*100,2)/8/$DI33,1)</f>
        <v>#VALUE!</v>
      </c>
      <c r="EV33" s="63" t="e">
        <f>ROUNDUP(5*$CY33*POWER($I32*100,4)/(384*VLOOKUP(VALUE(RIGHT($J32,4)),許容応力!$B$6:$K$22,10)*100*$DU33),2)</f>
        <v>#VALUE!</v>
      </c>
      <c r="EW33" s="63"/>
      <c r="EX33" s="63"/>
      <c r="EY33" s="63"/>
      <c r="EZ33" s="63"/>
      <c r="FA33" s="63"/>
      <c r="FB33" s="57"/>
      <c r="FC33" s="57"/>
      <c r="FD33" s="57"/>
      <c r="FE33" s="57"/>
      <c r="FF33" s="57"/>
      <c r="FG33" s="57"/>
      <c r="FH33" s="57"/>
    </row>
    <row r="34" spans="2:187" ht="15.95" customHeight="1" x14ac:dyDescent="0.15">
      <c r="B34" s="1588"/>
      <c r="C34" s="1163" t="s">
        <v>812</v>
      </c>
      <c r="D34" s="331"/>
      <c r="E34" s="1357"/>
      <c r="F34" s="1165" t="str">
        <f>IF(E34=0,"",ROUND(SQRT(COS(DR34*1.5*PI()/180)),3))</f>
        <v/>
      </c>
      <c r="G34" s="1359"/>
      <c r="H34" s="1359"/>
      <c r="I34" s="1516"/>
      <c r="J34" s="1521"/>
      <c r="K34" s="1116"/>
      <c r="L34" s="196">
        <f>+IF(K34=0,0,"×")</f>
        <v>0</v>
      </c>
      <c r="M34" s="241">
        <f>IF(K34=0,0,+EQ34)</f>
        <v>0</v>
      </c>
      <c r="N34" s="242" t="str">
        <f t="shared" si="0"/>
        <v/>
      </c>
      <c r="O34" s="1520">
        <f t="shared" ref="O34" si="72">IF(Z34=0,0,IF(AND(U34=0,X34=0),0,IF(IF(AE34&gt;=AH34,AE34,AH34)&lt;=1,"OK!","NO!")))</f>
        <v>0</v>
      </c>
      <c r="P34" s="1478"/>
      <c r="Q34" s="1572"/>
      <c r="R34" s="1572"/>
      <c r="S34" s="1616">
        <f t="shared" ref="S34" si="73">+IF(R34=0,0,6)</f>
        <v>0</v>
      </c>
      <c r="T34" s="1572"/>
      <c r="U34" s="1572"/>
      <c r="V34" s="196" t="str">
        <f>+V$185</f>
        <v/>
      </c>
      <c r="W34" s="1321">
        <f>IF(U34=0,0,+VLOOKUP(V34,$I$204:$J$209,2))</f>
        <v>0</v>
      </c>
      <c r="X34" s="1496"/>
      <c r="Y34" s="1311">
        <f>IF(X34=0,0,+CS34)</f>
        <v>0</v>
      </c>
      <c r="Z34" s="1313">
        <f>IF(AND(R34=0,X34=0),0,+IF(AND(VALUE(RIGHT(P34,4))=2,R34&gt;0),0,IF(AND(VALUE(RIGHT(P34,4))=1,X34&gt;0),0,CM34)))</f>
        <v>0</v>
      </c>
      <c r="AA34" s="1314">
        <f>IF(X34=0,0,IF(EI34&gt;=EJ34,EI34,EJ34))</f>
        <v>0</v>
      </c>
      <c r="AB34" s="1121"/>
      <c r="AC34" s="201" t="str">
        <f t="shared" si="1"/>
        <v/>
      </c>
      <c r="AD34" s="201" t="str">
        <f t="shared" si="2"/>
        <v/>
      </c>
      <c r="AE34" s="1314">
        <f>IF(F34=+"",0,IF(AND(U34=0,X34=0),0,IF(X34=0,ROUND(DB34/(DJ34*$CP$4*W34),2),ROUND(DB34/DJ34,2))))</f>
        <v>0</v>
      </c>
      <c r="AF34" s="201" t="str">
        <f t="shared" si="3"/>
        <v/>
      </c>
      <c r="AG34" s="201" t="str">
        <f t="shared" si="4"/>
        <v/>
      </c>
      <c r="AH34" s="1314">
        <f>IF(F34=+"",0,IF(AND(U34=0,X34=0),0,IF(X34=0,ROUND(DE34/(DK34*$CP$4*W34),2),ROUND(DE34/DK34,2))))</f>
        <v>0</v>
      </c>
      <c r="AI34" s="818"/>
      <c r="AJ34" s="811"/>
      <c r="AK34" s="823"/>
      <c r="AL34" s="812"/>
      <c r="AM34" s="1300">
        <f>IF(AI34=0,0,ROUND(AI34*AJ34+AK34*AL34+AI35*AJ35+AK35*AL35,2))</f>
        <v>0</v>
      </c>
      <c r="AN34" s="1300">
        <f t="shared" ref="AN34" si="74">IF(AJ34=0,0,IF(CO34=1,CN34/($CP$4*W34),CN34))</f>
        <v>0</v>
      </c>
      <c r="AO34" s="1302" t="str">
        <f t="shared" ref="AO34" si="75">IF(AN34=0,"",IF(AN34&lt;=1,"OK!","NO!"))</f>
        <v/>
      </c>
      <c r="AP34" s="182">
        <f>+IF(I34=0,0,"1/")</f>
        <v>0</v>
      </c>
      <c r="AQ34" s="183">
        <f>IF(I34=0,0,+DN34)</f>
        <v>0</v>
      </c>
      <c r="AR34" s="23"/>
      <c r="AS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1313">
        <f>IF(AND(U34=0,X34=0),0,IF(U34&gt;0,V$196/100*$CP$4*W34,ROUND(POWER(X34*Y34,2)/(K34/10*M34/10),2)))</f>
        <v>0</v>
      </c>
      <c r="CN34" s="1304" t="str">
        <f>IF($AJ34=0,"",IF($EC34&gt;=$EE34,$EC34,$EE34))</f>
        <v/>
      </c>
      <c r="CO34" s="552">
        <f>IF(P34=0,0,+VALUE(RIGHT(P34,4)))</f>
        <v>0</v>
      </c>
      <c r="CP34" s="91" t="e">
        <f>ROUNDUP(CX34*I34/DS34*100/2/DL34,2)</f>
        <v>#VALUE!</v>
      </c>
      <c r="CQ34" s="91" t="e">
        <f>ROUNDUP(CY34*I34/DS34*100/2/DM34,2)</f>
        <v>#VALUE!</v>
      </c>
      <c r="CR34" s="23" t="e">
        <f t="shared" si="62"/>
        <v>#VALUE!</v>
      </c>
      <c r="CS34" s="9">
        <f>IF(M34=0,0,ROUNDUP(SQRT((AA34*K34/10*M34/10)/(X34*X34)),2))</f>
        <v>0</v>
      </c>
      <c r="CU34" s="63">
        <f t="shared" si="63"/>
        <v>0</v>
      </c>
      <c r="CV34" s="63" t="e">
        <f>ROUNDUP(IF(VALUE(RIGHT($G$3,4))=1,$I$3*30*F34*100,$I$3*20*F34*100),0)</f>
        <v>#VALUE!</v>
      </c>
      <c r="CW34" s="63"/>
      <c r="CX34" s="63">
        <f>ROUNDUP((準備!$G$57/100/DS34+IF(AND(VALUE(RIGHT($G$3,4))=1,$T$3=2),CU34/100*1.2,CU34/100))*(G34+H34)/2,2)</f>
        <v>0</v>
      </c>
      <c r="CY34" s="63" t="e">
        <f>ROUNDUP((準備!$G$57/100/DS34+IF(AND(VALUE(RIGHT($G$3,4))=1,$T$3=2),CV34/100*1.2,CV34/100))*(G34+H34)/2,2)</f>
        <v>#VALUE!</v>
      </c>
      <c r="CZ34" s="63" t="e">
        <f>ROUNDUP($CX34*POWER($I34*100,2)/8/$DF34,1)</f>
        <v>#DIV/0!</v>
      </c>
      <c r="DA34" s="63" t="e">
        <f>ROUNDUP(5*$CX34*POWER($I34*100,4)/(384*VLOOKUP(VALUE(RIGHT($J34,4)),許容応力!$B$6:$K$22,10)*100*$DG34),2)</f>
        <v>#VALUE!</v>
      </c>
      <c r="DB34" s="87" t="e">
        <f>ROUND(CX34*I34/DS34*100/2/Z34,1)</f>
        <v>#DIV/0!</v>
      </c>
      <c r="DC34" s="63" t="e">
        <f>ROUNDUP($CY34*POWER($I34*100,2)/8/$DF34,1)</f>
        <v>#VALUE!</v>
      </c>
      <c r="DD34" s="63" t="e">
        <f>ROUNDUP(5*$CY34*POWER($I34*100,4)/(384*VLOOKUP(VALUE(RIGHT($J34,4)),許容応力!$B$6:$K$22,10)*100*$DG34),2)</f>
        <v>#VALUE!</v>
      </c>
      <c r="DE34" s="87" t="e">
        <f>ROUND(CY34*I34/DS34*100/2/Z34,1)</f>
        <v>#VALUE!</v>
      </c>
      <c r="DF34" s="63">
        <f>ROUNDDOWN($K34/10*POWER($M34/10,2)/6*IF(OR($AB34=0,$AB34=1),1,$AB34),0)</f>
        <v>0</v>
      </c>
      <c r="DG34" s="63">
        <f>ROUNDDOWN($K34/10*POWER($M34/10,3)/12*IF(OR($AB34=0,$AB34=1),1,$AB34),0)</f>
        <v>0</v>
      </c>
      <c r="DH34" s="10" t="e">
        <f>IF($DN$6=2,ROUND(VLOOKUP(DQ34,許容応力!$B$6:$K$22,7)*1.1/3*100,0),ROUND(VLOOKUP(DQ34,許容応力!$B$6:$K$22,7)*1.1/3*1.3*100,0))</f>
        <v>#VALUE!</v>
      </c>
      <c r="DI34" s="87" t="e">
        <f>ROUND(VLOOKUP(DQ34,許容応力!$B$6:$K$22,7)*100*2/3*0.8,0)</f>
        <v>#VALUE!</v>
      </c>
      <c r="DJ34" s="10" t="e">
        <f>IF($DN$6=2,ROUND(VLOOKUP(DQ34,許容応力!$B$6:$K$22,8)*1.1/3*100,0),ROUND(VLOOKUP(DQ34,許容応力!$B$6:$K$22,8)*1.1/3*1.3*100,0))</f>
        <v>#VALUE!</v>
      </c>
      <c r="DK34" s="87" t="e">
        <f>ROUND(VLOOKUP(DQ34,許容応力!$B$6:$K$22,8)*100*2/3*0.8,0)</f>
        <v>#VALUE!</v>
      </c>
      <c r="DL34" s="10" t="e">
        <f>IF($DN$6=2,ROUND(VLOOKUP(DQ34,許容応力!$B$6:$K$22,9)*1.1/3*100,0),ROUND(VLOOKUP(DQ34,許容応力!$B$6:$K$22,9)*1.1/3*1.3*100,0))</f>
        <v>#VALUE!</v>
      </c>
      <c r="DM34" s="87" t="e">
        <f>ROUND(VLOOKUP(DQ34,許容応力!$B$6:$K$22,9)*100*2/3*0.8,0)</f>
        <v>#VALUE!</v>
      </c>
      <c r="DN34" s="63">
        <f t="shared" si="7"/>
        <v>200</v>
      </c>
      <c r="DO34" s="63">
        <f>ROUND(I34*100/DN34,2)</f>
        <v>0</v>
      </c>
      <c r="DP34" s="63"/>
      <c r="DQ34" s="63" t="e">
        <f>+VALUE(RIGHT(J34,3))</f>
        <v>#VALUE!</v>
      </c>
      <c r="DR34" s="69">
        <f>ROUND(ATAN(E34/10)*180/PI(),4)</f>
        <v>0</v>
      </c>
      <c r="DS34" s="70">
        <f t="shared" si="64"/>
        <v>1</v>
      </c>
      <c r="DT34" s="63">
        <f>VLOOKUP(VALUE(RIGHT(C34,4)),$C$632:$F$641,4)</f>
        <v>200</v>
      </c>
      <c r="DU34" s="63">
        <f>ROUND(I34*100/DT34,2)</f>
        <v>0</v>
      </c>
      <c r="DV34" s="63"/>
      <c r="DW34" s="63"/>
      <c r="DX34" s="87" t="e">
        <f>ROUNDUP((準備!$F$60/100+準備!$E$48/100)*($G34+$H34)/2,2)</f>
        <v>#N/A</v>
      </c>
      <c r="DY34" s="63"/>
      <c r="DZ34" s="63"/>
      <c r="EA34" s="63"/>
      <c r="EB34" s="87" t="e">
        <f>ROUND(CX34*I34/DS34*100/2/AM34,1)</f>
        <v>#DIV/0!</v>
      </c>
      <c r="EC34" s="63" t="e">
        <f t="shared" si="65"/>
        <v>#DIV/0!</v>
      </c>
      <c r="ED34" s="87" t="e">
        <f>ROUND(CY34*I34/DS34*100/2/AM34,1)</f>
        <v>#VALUE!</v>
      </c>
      <c r="EE34" s="63" t="e">
        <f t="shared" si="66"/>
        <v>#VALUE!</v>
      </c>
      <c r="EF34" s="588"/>
      <c r="EG34" s="588"/>
      <c r="EH34" s="63"/>
      <c r="EI34" s="87" t="str">
        <f>IF(M34=0,"",ROUND(CX34*I34/DS34*100/2/DJ34,2))</f>
        <v/>
      </c>
      <c r="EJ34" s="87" t="str">
        <f>IF(M34=0,"",ROUND(CY34*I34/DS34*100/2/DK34,2))</f>
        <v/>
      </c>
      <c r="EK34" s="63"/>
      <c r="EL34" s="63" t="e">
        <f>ROUNDUP(ER34/3,-1)*3</f>
        <v>#VALUE!</v>
      </c>
      <c r="EM34" s="63" t="e">
        <f>ROUNDUP(ES34/3,-1)*3</f>
        <v>#VALUE!</v>
      </c>
      <c r="EO34" s="63" t="e">
        <f>ROUNDUP(EU34/3,-1)*3</f>
        <v>#VALUE!</v>
      </c>
      <c r="EP34" s="63" t="e">
        <f>ROUNDUP(EV34/3,-1)*3</f>
        <v>#VALUE!</v>
      </c>
      <c r="EQ34" s="155" t="e">
        <f t="shared" si="67"/>
        <v>#VALUE!</v>
      </c>
      <c r="ER34" s="63" t="e">
        <f>ROUND(SQRT(EW34/($K34/10)*6/IF(OR($AB34=0,$AB34=1),1,$AB34))*10,0)</f>
        <v>#VALUE!</v>
      </c>
      <c r="ES34" s="63" t="e">
        <f>POWER(ROUND(EX34/($K34/10)*12/IF(OR($AB34=0,$AB34=1),1,$AB34),0),1/3)*10</f>
        <v>#VALUE!</v>
      </c>
      <c r="EU34" s="63" t="e">
        <f>ROUND(SQRT(EZ34/($K34/10)*6/IF(OR($AB34=0,$AB34=1),1,$AB34))*10,0)</f>
        <v>#VALUE!</v>
      </c>
      <c r="EV34" s="63" t="e">
        <f>POWER(ROUND(FA34/($K34/10)*12/IF(OR($AB34=0,$AB34=1),1,$AB34),0),1/3)*10</f>
        <v>#VALUE!</v>
      </c>
      <c r="EW34" s="63" t="e">
        <f>ROUNDUP($CX34*POWER($I34*100,2)/8/$DH34,1)</f>
        <v>#VALUE!</v>
      </c>
      <c r="EX34" s="63" t="e">
        <f>ROUNDUP(5*$CX34*POWER($I34*100,4)/(384*VLOOKUP(VALUE(RIGHT($J34,4)),許容応力!$B$6:$K$22,10)*100*$DO34),2)</f>
        <v>#VALUE!</v>
      </c>
      <c r="EY34" s="63"/>
      <c r="EZ34" s="63" t="e">
        <f>ROUNDUP($CY34*POWER($I34*100,2)/8/$DI34,1)</f>
        <v>#VALUE!</v>
      </c>
      <c r="FA34" s="63" t="e">
        <f>ROUNDUP(5*$CY34*POWER($I34*100,4)/(384*VLOOKUP(VALUE(RIGHT($J34,4)),許容応力!$B$6:$K$22,10)*100*$DU34),2)</f>
        <v>#VALUE!</v>
      </c>
      <c r="FB34" s="57"/>
      <c r="FC34" s="57"/>
      <c r="FD34" s="57"/>
      <c r="FE34" s="57"/>
      <c r="FF34" s="57"/>
      <c r="FG34" s="57"/>
      <c r="FH34" s="57"/>
    </row>
    <row r="35" spans="2:187" ht="15.95" customHeight="1" thickBot="1" x14ac:dyDescent="0.2">
      <c r="B35" s="1588"/>
      <c r="C35" s="1163"/>
      <c r="D35" s="330"/>
      <c r="E35" s="1357"/>
      <c r="F35" s="1166"/>
      <c r="G35" s="1359"/>
      <c r="H35" s="1359"/>
      <c r="I35" s="1359"/>
      <c r="J35" s="1521"/>
      <c r="K35" s="1193">
        <f>+IF(J34=0,0,"丸太末口 φ")</f>
        <v>0</v>
      </c>
      <c r="L35" s="1194"/>
      <c r="M35" s="239">
        <f>IF(J34=0,0,+EQ35)</f>
        <v>0</v>
      </c>
      <c r="N35" s="240" t="str">
        <f t="shared" si="0"/>
        <v/>
      </c>
      <c r="O35" s="1519"/>
      <c r="P35" s="1478"/>
      <c r="Q35" s="1572"/>
      <c r="R35" s="1572"/>
      <c r="S35" s="1617"/>
      <c r="T35" s="1572"/>
      <c r="U35" s="1572"/>
      <c r="V35" s="1019" t="str">
        <f>+V$184</f>
        <v/>
      </c>
      <c r="W35" s="1321"/>
      <c r="X35" s="1497"/>
      <c r="Y35" s="1312"/>
      <c r="Z35" s="1312"/>
      <c r="AA35" s="1254"/>
      <c r="AB35" s="1120"/>
      <c r="AC35" s="206" t="str">
        <f t="shared" si="1"/>
        <v/>
      </c>
      <c r="AD35" s="206" t="str">
        <f t="shared" si="2"/>
        <v/>
      </c>
      <c r="AE35" s="1254"/>
      <c r="AF35" s="206" t="str">
        <f t="shared" si="3"/>
        <v/>
      </c>
      <c r="AG35" s="206" t="str">
        <f t="shared" si="4"/>
        <v/>
      </c>
      <c r="AH35" s="1470"/>
      <c r="AI35" s="817"/>
      <c r="AJ35" s="809"/>
      <c r="AK35" s="822"/>
      <c r="AL35" s="810"/>
      <c r="AM35" s="1301"/>
      <c r="AN35" s="1301"/>
      <c r="AO35" s="1303"/>
      <c r="AP35" s="184">
        <f>+IF(I34=0,0,"1/")</f>
        <v>0</v>
      </c>
      <c r="AQ35" s="185">
        <f>IF(I34=0,0,+DN35)</f>
        <v>0</v>
      </c>
      <c r="AR35" s="23"/>
      <c r="AS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1312"/>
      <c r="CN35" s="1301"/>
      <c r="CO35" s="548"/>
      <c r="CP35" s="9" t="e">
        <f>ROUNDUP(CX35*I34/DS35*100/2/DL35,2)</f>
        <v>#VALUE!</v>
      </c>
      <c r="CQ35" s="9" t="e">
        <f>ROUNDUP(CY35*I34/DS35*100/2/DM35,2)</f>
        <v>#VALUE!</v>
      </c>
      <c r="CR35" s="23" t="e">
        <f t="shared" si="62"/>
        <v>#VALUE!</v>
      </c>
      <c r="CS35" s="9">
        <f>IF(M35=0,0,ROUNDUP(SQRT(AA35*(M35/10-6)*(M35/10-3))/(X35*X35),2))</f>
        <v>0</v>
      </c>
      <c r="CU35" s="63">
        <f t="shared" si="63"/>
        <v>0</v>
      </c>
      <c r="CV35" s="63" t="e">
        <f>ROUNDUP(IF(VALUE(RIGHT($G$3,4))=1,$I$3*30*F34*100,$I$3*20*F34*100),0)</f>
        <v>#VALUE!</v>
      </c>
      <c r="CW35" s="63"/>
      <c r="CX35" s="63">
        <f>ROUNDUP((準備!$G$57/100/DS35+IF(AND(VALUE(RIGHT($G$3,4))=1,$T$3=2),CU35/100*1.2,CU35/100))*(G34+H34)/2,2)</f>
        <v>0</v>
      </c>
      <c r="CY35" s="63" t="e">
        <f>ROUNDUP((準備!$G$57/100/DS35+IF(AND(VALUE(RIGHT($G$3,4))=1,$T$3=2),CV35/100*1.2,CV35/100))*(G34+H34)/2,2)</f>
        <v>#VALUE!</v>
      </c>
      <c r="CZ35" s="63">
        <f>IF(K35=0,0,ROUNDUP($CX35*POWER($I34*100,2)/8/$DF35,1))</f>
        <v>0</v>
      </c>
      <c r="DA35" s="63">
        <f>IF($K35=0,0,ROUNDUP(5*$CX35*POWER($I34*100,4)/(384*VLOOKUP(VALUE(RIGHT($J34,4)),許容応力!$L$6:$U$22,10)*100*$DG35),2))</f>
        <v>0</v>
      </c>
      <c r="DB35" s="78" t="e">
        <f>ROUND((CX35*I34/DS35*100/2+EA35)/Z35,1)</f>
        <v>#DIV/0!</v>
      </c>
      <c r="DC35" s="63" t="e">
        <f>ROUNDUP($CY35*POWER($I34*100,2)/8/$DF35,1)</f>
        <v>#VALUE!</v>
      </c>
      <c r="DD35" s="63" t="e">
        <f>ROUNDUP(5*$CY35*POWER($I34*100,4)/(384*VLOOKUP(VALUE(RIGHT($J34,4)),許容応力!$L$6:$U$22,10)*100*$DG35),2)</f>
        <v>#VALUE!</v>
      </c>
      <c r="DE35" s="78" t="e">
        <f>ROUND((CY35*I34/DS35*100/2+EA35)/Z35,1)</f>
        <v>#VALUE!</v>
      </c>
      <c r="DF35" s="63">
        <f>IF(M35&lt;180,ROUND((M35/10-3)*POWER(M35/10-3,2)/6*IF(AB35=0,1,AB35),0),ROUND((M35/10-5)*POWER(M35/10-3,2)/6*IF($AB35=0,1,$AB35),0))</f>
        <v>-5</v>
      </c>
      <c r="DG35" s="63">
        <f>ROUND(IF(M35&lt;180,(M35/10-3)*POWER((M35/10-3),3)/12*IF(AB35=0,1,AB35),(M35/10-5))*POWER((M35/10-3),3)/12*IF(AB35=0,1,AB35),0)</f>
        <v>-15</v>
      </c>
      <c r="DH35" s="10" t="e">
        <f>IF($DN$6=2,ROUND(VLOOKUP(DQ35,許容応力!$L$6:$U$22,7)*1.1/3*100,0),ROUND(VLOOKUP(DQ35,許容応力!$L$6:$U$22,7)*1.1/3*1.3*100,0))</f>
        <v>#VALUE!</v>
      </c>
      <c r="DI35" s="63" t="e">
        <f>ROUND(VLOOKUP(DQ35,許容応力!$L$6:$U$22,7)*100*2/3*0.8,0)</f>
        <v>#VALUE!</v>
      </c>
      <c r="DJ35" s="10" t="e">
        <f>IF($DN$6=2,ROUND(VLOOKUP(DQ35,許容応力!$L$6:$U$22,8)*1.1/3*100,0),ROUND(VLOOKUP(DQ35,許容応力!$L$6:$U$22,8)*1.1/3*1.3*100,0))</f>
        <v>#VALUE!</v>
      </c>
      <c r="DK35" s="63" t="e">
        <f>ROUND(VLOOKUP(DQ35,許容応力!$L$6:$U$22,8)*100*2/3*0.8,0)</f>
        <v>#VALUE!</v>
      </c>
      <c r="DL35" s="10" t="e">
        <f>IF($DN$6=2,ROUND(VLOOKUP(DQ35,許容応力!$L$6:$U$22,9)*1.1/3*100,0),ROUND(VLOOKUP(DQ35,許容応力!$L$6:$U$22,9)*1.1/3*1.3*100,0))</f>
        <v>#VALUE!</v>
      </c>
      <c r="DM35" s="63" t="e">
        <f>ROUND(VLOOKUP(DQ35,許容応力!$L$6:$U$22,9)*100*2/3*0.8,0)</f>
        <v>#VALUE!</v>
      </c>
      <c r="DN35" s="63">
        <f t="shared" si="7"/>
        <v>200</v>
      </c>
      <c r="DO35" s="63">
        <f>ROUND(I34*100/DN35,2)</f>
        <v>0</v>
      </c>
      <c r="DP35" s="63"/>
      <c r="DQ35" s="63" t="e">
        <f>+VALUE(RIGHT(J34,3))</f>
        <v>#VALUE!</v>
      </c>
      <c r="DR35" s="69">
        <f>ROUND(ATAN(E34/10)*180/PI(),4)</f>
        <v>0</v>
      </c>
      <c r="DS35" s="70">
        <f t="shared" si="64"/>
        <v>1</v>
      </c>
      <c r="DT35" s="63">
        <f>VLOOKUP(VALUE(RIGHT(C34,4)),$C$632:$F$641,4)</f>
        <v>200</v>
      </c>
      <c r="DU35" s="63">
        <f>ROUND(I34*100/DT35,2)</f>
        <v>0</v>
      </c>
      <c r="DV35" s="63"/>
      <c r="DW35" s="63"/>
      <c r="DX35" s="78" t="e">
        <f>ROUNDUP((準備!$F$60/100+準備!$E$48/100)*($G34+$H34)/2,2)</f>
        <v>#N/A</v>
      </c>
      <c r="DY35" s="71">
        <f>IF(I34&lt;6,POWER(M35/10,2)*I34/10000,POWER((M35/10+(ROUNDDOWN(I34,0)-4)/2),2)*I34/10000)</f>
        <v>0</v>
      </c>
      <c r="DZ35" s="63">
        <v>200</v>
      </c>
      <c r="EA35" s="84">
        <f>ROUND(DY35*DZ35/100,0)</f>
        <v>0</v>
      </c>
      <c r="EB35" s="78" t="e">
        <f>ROUND((CX35*I34/DS35*100/2+EA35)/AM35,1)</f>
        <v>#DIV/0!</v>
      </c>
      <c r="EC35" s="63" t="e">
        <f t="shared" si="65"/>
        <v>#DIV/0!</v>
      </c>
      <c r="ED35" s="78" t="e">
        <f>ROUND((CY35*I34/DS35*100/2+EA35)/AM35,1)</f>
        <v>#VALUE!</v>
      </c>
      <c r="EE35" s="63" t="e">
        <f t="shared" si="66"/>
        <v>#VALUE!</v>
      </c>
      <c r="EF35" s="63"/>
      <c r="EG35" s="63"/>
      <c r="EH35" s="588"/>
      <c r="EI35" s="78" t="str">
        <f>IF(M35=0,"",ROUND(CX35*I34/DS35*100/2/DJ35,2))</f>
        <v/>
      </c>
      <c r="EJ35" s="78" t="str">
        <f>IF(M35=0,"",ROUND(CY35*I34/DS35*100/2/DK35,2))</f>
        <v/>
      </c>
      <c r="EK35" s="63"/>
      <c r="EL35" s="63" t="e">
        <f>IF(AB35=0.8,VLOOKUP(ER35,$CR$395:$CS$439,2),IF(AB35=0.9,VLOOKUP(ER35,$CR$348:$CS$394,2),VLOOKUP(ER35,$CR$301:$CS$344,2)))</f>
        <v>#VALUE!</v>
      </c>
      <c r="EM35" s="63" t="e">
        <f>IF(AB35=0.8,VLOOKUP(ES35,$CT$395:$CU$439,2),IF(AB35=0.9,VLOOKUP(ES35,$CT$348:$CU$394,2),VLOOKUP(ES35,$CT$301:$CU$344,2)))</f>
        <v>#VALUE!</v>
      </c>
      <c r="EO35" s="63" t="e">
        <f>IF(AB35=0.8,VLOOKUP(EU35,$CR$395:$CS$439,2),IF(AB35=0.9,VLOOKUP(EU35,$CR$348:$CS$394,2),VLOOKUP(EU35,$CR$301:$CS$344,2)))</f>
        <v>#VALUE!</v>
      </c>
      <c r="EP35" s="63" t="e">
        <f>IF(AB35=0.8,VLOOKUP(EV35,$CT$395:$CU$439,2),IF(AB35=0.9,VLOOKUP(EV35,$CT$348:$CU$394,2),VLOOKUP(EV35,$CT$301:$CU$344,2)))</f>
        <v>#VALUE!</v>
      </c>
      <c r="EQ35" s="155" t="e">
        <f t="shared" si="67"/>
        <v>#VALUE!</v>
      </c>
      <c r="ER35" s="63" t="e">
        <f>ROUNDUP($CX35*POWER($I34*100,2)/8/$DH35,1)</f>
        <v>#VALUE!</v>
      </c>
      <c r="ES35" s="63" t="e">
        <f>ROUNDUP(5*$CX35*POWER($I34*100,4)/(384*VLOOKUP(VALUE(RIGHT($J34,4)),許容応力!$B$6:$K$22,10)*100*$DO35),2)</f>
        <v>#VALUE!</v>
      </c>
      <c r="ET35" s="63"/>
      <c r="EU35" s="63" t="e">
        <f>ROUNDUP($CY35*POWER($I34*100,2)/8/$DI35,1)</f>
        <v>#VALUE!</v>
      </c>
      <c r="EV35" s="63" t="e">
        <f>ROUNDUP(5*$CY35*POWER($I34*100,4)/(384*VLOOKUP(VALUE(RIGHT($J34,4)),許容応力!$B$6:$K$22,10)*100*$DU35),2)</f>
        <v>#VALUE!</v>
      </c>
      <c r="EW35" s="63"/>
      <c r="EX35" s="63"/>
      <c r="EY35" s="63"/>
      <c r="EZ35" s="63"/>
      <c r="FA35" s="63"/>
      <c r="FB35" s="57"/>
      <c r="FC35" s="57"/>
      <c r="FD35" s="57"/>
      <c r="FE35" s="57"/>
      <c r="FF35" s="57"/>
      <c r="FG35" s="57"/>
      <c r="FH35" s="57"/>
    </row>
    <row r="36" spans="2:187" ht="15.95" customHeight="1" x14ac:dyDescent="0.15">
      <c r="B36" s="1345"/>
      <c r="C36" s="1586" t="s">
        <v>954</v>
      </c>
      <c r="D36" s="331"/>
      <c r="E36" s="1357"/>
      <c r="F36" s="1165" t="str">
        <f>IF(E36=0,"",ROUND(SQRT(COS(DR36*1.5*PI()/180)),3))</f>
        <v/>
      </c>
      <c r="G36" s="1359"/>
      <c r="H36" s="1359"/>
      <c r="I36" s="1516"/>
      <c r="J36" s="1521"/>
      <c r="K36" s="1116"/>
      <c r="L36" s="196">
        <f>+IF(K36=0,0,"×")</f>
        <v>0</v>
      </c>
      <c r="M36" s="241">
        <f>IF(K36=0,0,+EQ36)</f>
        <v>0</v>
      </c>
      <c r="N36" s="242" t="str">
        <f t="shared" si="0"/>
        <v/>
      </c>
      <c r="O36" s="1520">
        <f t="shared" ref="O36" si="76">IF(Z36=0,0,IF(AND(U36=0,X36=0),0,IF(IF(AE36&gt;=AH36,AE36,AH36)&lt;=1,"OK!","NO!")))</f>
        <v>0</v>
      </c>
      <c r="P36" s="1478"/>
      <c r="Q36" s="1572"/>
      <c r="R36" s="1572"/>
      <c r="S36" s="1616">
        <f t="shared" ref="S36" si="77">+IF(R36=0,0,6)</f>
        <v>0</v>
      </c>
      <c r="T36" s="1572"/>
      <c r="U36" s="1572"/>
      <c r="V36" s="196" t="str">
        <f>+W$185</f>
        <v/>
      </c>
      <c r="W36" s="1321">
        <f>IF(U36=0,0,+VLOOKUP(V36,$I$204:$J$209,2))</f>
        <v>0</v>
      </c>
      <c r="X36" s="1496"/>
      <c r="Y36" s="1311">
        <f>IF(X36=0,0,+CS36)</f>
        <v>0</v>
      </c>
      <c r="Z36" s="1313">
        <f>IF(AND(R36=0,X36=0),0,+IF(AND(VALUE(RIGHT(P36,4))=2,R36&gt;0),0,IF(AND(VALUE(RIGHT(P36,4))=1,X36&gt;0),0,CM36)))</f>
        <v>0</v>
      </c>
      <c r="AA36" s="1314">
        <f>IF(X36=0,0,IF(EI36&gt;=EJ36,EI36,EJ36))</f>
        <v>0</v>
      </c>
      <c r="AB36" s="1121"/>
      <c r="AC36" s="201" t="str">
        <f t="shared" si="1"/>
        <v/>
      </c>
      <c r="AD36" s="201" t="str">
        <f t="shared" si="2"/>
        <v/>
      </c>
      <c r="AE36" s="1314">
        <f>IF(F36=+"",0,IF(AND(U36=0,X36=0),0,IF(X36=0,ROUND(DB36/(DJ36*$CP$4*W36),2),ROUND(DB36/DJ36,2))))</f>
        <v>0</v>
      </c>
      <c r="AF36" s="201" t="str">
        <f t="shared" si="3"/>
        <v/>
      </c>
      <c r="AG36" s="201" t="str">
        <f t="shared" si="4"/>
        <v/>
      </c>
      <c r="AH36" s="1314">
        <f>IF(F36=+"",0,IF(AND(U36=0,X36=0),0,IF(X36=0,ROUND(DE36/(DK36*$CP$4*W36),2),ROUND(DE36/DK36,2))))</f>
        <v>0</v>
      </c>
      <c r="AI36" s="818"/>
      <c r="AJ36" s="811"/>
      <c r="AK36" s="823"/>
      <c r="AL36" s="812"/>
      <c r="AM36" s="1300">
        <f>IF(AI36=0,0,ROUND(AI36*AJ36+AK36*AL36+AI37*AJ37+AK37*AL37,2))</f>
        <v>0</v>
      </c>
      <c r="AN36" s="1300">
        <f t="shared" ref="AN36" si="78">IF(AJ36=0,0,IF(CO36=1,CN36/($CP$4*W36),CN36))</f>
        <v>0</v>
      </c>
      <c r="AO36" s="1302" t="str">
        <f t="shared" ref="AO36" si="79">IF(AN36=0,"",IF(AN36&lt;=1,"OK!","NO!"))</f>
        <v/>
      </c>
      <c r="AP36" s="182">
        <f>+IF(I36=0,0,"1/")</f>
        <v>0</v>
      </c>
      <c r="AQ36" s="183">
        <f>IF(I36=0,0,+DN36)</f>
        <v>0</v>
      </c>
      <c r="AR36" s="23"/>
      <c r="AS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1313">
        <f>IF(AND(U36=0,X36=0),0,IF(U36&gt;0,W$196/100*$CP$4*W36,ROUND(POWER(X36*Y36,2)/(K36/10*M36/10),2)))</f>
        <v>0</v>
      </c>
      <c r="CN36" s="1304" t="str">
        <f>IF($AJ36=0,"",IF($EC36&gt;=$EE36,$EC36,$EE36))</f>
        <v/>
      </c>
      <c r="CO36" s="552">
        <f>IF(P36=0,0,+VALUE(RIGHT(P36,4)))</f>
        <v>0</v>
      </c>
      <c r="CP36" s="91" t="e">
        <f>ROUNDUP(CX36*I36/DS36*100/2/DL36,2)</f>
        <v>#VALUE!</v>
      </c>
      <c r="CQ36" s="91" t="e">
        <f>ROUNDUP(CY36*I36/DS36*100/2/DM36,2)</f>
        <v>#VALUE!</v>
      </c>
      <c r="CR36" s="23" t="e">
        <f t="shared" si="62"/>
        <v>#VALUE!</v>
      </c>
      <c r="CS36" s="9">
        <f>IF(M36=0,0,ROUNDUP(SQRT((AA36*K36/10*M36/10)/(X36*X36)),2))</f>
        <v>0</v>
      </c>
      <c r="CU36" s="63">
        <f t="shared" si="63"/>
        <v>0</v>
      </c>
      <c r="CV36" s="63" t="e">
        <f>ROUNDUP(IF(VALUE(RIGHT($G$3,4))=1,$I$3*30*F36*100,$I$3*20*F36*100),0)</f>
        <v>#VALUE!</v>
      </c>
      <c r="CW36" s="63"/>
      <c r="CX36" s="63">
        <f>ROUNDUP((準備!$G$57/100/DS36+IF(AND(VALUE(RIGHT($G$3,4))=1,$T$3=2),CU36/100*1.2,CU36/100))*(G36+H36)/2,2)</f>
        <v>0</v>
      </c>
      <c r="CY36" s="63" t="e">
        <f>ROUNDUP((準備!$G$57/100/DS36+IF(AND(VALUE(RIGHT($G$3,4))=1,$T$3=2),CV36/100*1.2,CV36/100))*(G36+H36)/2,2)</f>
        <v>#VALUE!</v>
      </c>
      <c r="CZ36" s="63" t="e">
        <f>ROUNDUP($CX36*POWER($I36*100,2)/8/$DF36,1)</f>
        <v>#DIV/0!</v>
      </c>
      <c r="DA36" s="63" t="e">
        <f>ROUNDUP(5*$CX36*POWER($I36*100,4)/(384*VLOOKUP(VALUE(RIGHT($J36,4)),許容応力!$B$6:$K$22,10)*100*$DG36),2)</f>
        <v>#VALUE!</v>
      </c>
      <c r="DB36" s="87" t="e">
        <f>ROUND(CX36*I36/DS36*100/2/Z36,1)</f>
        <v>#DIV/0!</v>
      </c>
      <c r="DC36" s="63" t="e">
        <f>ROUNDUP($CY36*POWER($I36*100,2)/8/$DF36,1)</f>
        <v>#VALUE!</v>
      </c>
      <c r="DD36" s="63" t="e">
        <f>ROUNDUP(5*$CY36*POWER($I36*100,4)/(384*VLOOKUP(VALUE(RIGHT($J36,4)),許容応力!$B$6:$K$22,10)*100*$DG36),2)</f>
        <v>#VALUE!</v>
      </c>
      <c r="DE36" s="87" t="e">
        <f>ROUND(CY36*I36/DS36*100/2/Z36,1)</f>
        <v>#VALUE!</v>
      </c>
      <c r="DF36" s="63">
        <f>ROUNDDOWN($K36/10*POWER($M36/10,2)/6*IF(OR($AB36=0,$AB36=1),1,$AB36),0)</f>
        <v>0</v>
      </c>
      <c r="DG36" s="63">
        <f>ROUNDDOWN($K36/10*POWER($M36/10,3)/12*IF(OR($AB36=0,$AB36=1),1,$AB36),0)</f>
        <v>0</v>
      </c>
      <c r="DH36" s="10" t="e">
        <f>IF($DN$6=2,ROUND(VLOOKUP(DQ36,許容応力!$B$6:$K$22,7)*1.1/3*100,0),ROUND(VLOOKUP(DQ36,許容応力!$B$6:$K$22,7)*1.1/3*1.3*100,0))</f>
        <v>#VALUE!</v>
      </c>
      <c r="DI36" s="87" t="e">
        <f>ROUND(VLOOKUP(DQ36,許容応力!$B$6:$K$22,7)*100*2/3*0.8,0)</f>
        <v>#VALUE!</v>
      </c>
      <c r="DJ36" s="10" t="e">
        <f>IF($DN$6=2,ROUND(VLOOKUP(DQ36,許容応力!$B$6:$K$22,8)*1.1/3*100,0),ROUND(VLOOKUP(DQ36,許容応力!$B$6:$K$22,8)*1.1/3*1.3*100,0))</f>
        <v>#VALUE!</v>
      </c>
      <c r="DK36" s="87" t="e">
        <f>ROUND(VLOOKUP(DQ36,許容応力!$B$6:$K$22,8)*100*2/3*0.8,0)</f>
        <v>#VALUE!</v>
      </c>
      <c r="DL36" s="10" t="e">
        <f>IF($DN$6=2,ROUND(VLOOKUP(DQ36,許容応力!$B$6:$K$22,9)*1.1/3*100,0),ROUND(VLOOKUP(DQ36,許容応力!$B$6:$K$22,9)*1.1/3*1.3*100,0))</f>
        <v>#VALUE!</v>
      </c>
      <c r="DM36" s="87" t="e">
        <f>ROUND(VLOOKUP(DQ36,許容応力!$B$6:$K$22,9)*100*2/3*0.8,0)</f>
        <v>#VALUE!</v>
      </c>
      <c r="DN36" s="63">
        <f t="shared" si="7"/>
        <v>200</v>
      </c>
      <c r="DO36" s="63">
        <f>ROUND(I36*100/DN36,2)</f>
        <v>0</v>
      </c>
      <c r="DP36" s="63"/>
      <c r="DQ36" s="63" t="e">
        <f>+VALUE(RIGHT(J36,3))</f>
        <v>#VALUE!</v>
      </c>
      <c r="DR36" s="69">
        <f>ROUND(ATAN(E36/10)*180/PI(),4)</f>
        <v>0</v>
      </c>
      <c r="DS36" s="70">
        <f t="shared" si="64"/>
        <v>1</v>
      </c>
      <c r="DT36" s="63">
        <f>VLOOKUP(VALUE(RIGHT(C36,4)),$C$632:$F$641,4)</f>
        <v>200</v>
      </c>
      <c r="DU36" s="63">
        <f>ROUND(I36*100/DT36,2)</f>
        <v>0</v>
      </c>
      <c r="DV36" s="63"/>
      <c r="DW36" s="63"/>
      <c r="DX36" s="87" t="e">
        <f>ROUNDUP((準備!$F$60/100+準備!$E$48/100)*($G36+$H36)/2,2)</f>
        <v>#N/A</v>
      </c>
      <c r="DY36" s="63"/>
      <c r="DZ36" s="63"/>
      <c r="EA36" s="63"/>
      <c r="EB36" s="87" t="e">
        <f>ROUND(CX36*I36/DS36*100/2/AM36,1)</f>
        <v>#DIV/0!</v>
      </c>
      <c r="EC36" s="63" t="e">
        <f t="shared" si="65"/>
        <v>#DIV/0!</v>
      </c>
      <c r="ED36" s="87" t="e">
        <f>ROUND(CY36*I36/DS36*100/2/AM36,1)</f>
        <v>#VALUE!</v>
      </c>
      <c r="EE36" s="63" t="e">
        <f t="shared" si="66"/>
        <v>#VALUE!</v>
      </c>
      <c r="EF36" s="588"/>
      <c r="EG36" s="588"/>
      <c r="EH36" s="63"/>
      <c r="EI36" s="87" t="str">
        <f>IF(M36=0,"",ROUND(CX36*I36/DS36*100/2/DJ36,2))</f>
        <v/>
      </c>
      <c r="EJ36" s="87" t="str">
        <f>IF(M36=0,"",ROUND(CY36*I36/DS36*100/2/DK36,2))</f>
        <v/>
      </c>
      <c r="EK36" s="63"/>
      <c r="EL36" s="63" t="e">
        <f>ROUNDUP(ER36/3,-1)*3</f>
        <v>#VALUE!</v>
      </c>
      <c r="EM36" s="63" t="e">
        <f>ROUNDUP(ES36/3,-1)*3</f>
        <v>#VALUE!</v>
      </c>
      <c r="EO36" s="63" t="e">
        <f>ROUNDUP(EU36/3,-1)*3</f>
        <v>#VALUE!</v>
      </c>
      <c r="EP36" s="63" t="e">
        <f>ROUNDUP(EV36/3,-1)*3</f>
        <v>#VALUE!</v>
      </c>
      <c r="EQ36" s="155" t="e">
        <f t="shared" si="67"/>
        <v>#VALUE!</v>
      </c>
      <c r="ER36" s="63" t="e">
        <f>ROUND(SQRT(EW36/($K36/10)*6/IF(OR($AB36=0,$AB36=1),1,$AB36))*10,0)</f>
        <v>#VALUE!</v>
      </c>
      <c r="ES36" s="63" t="e">
        <f>POWER(ROUND(EX36/($K36/10)*12/IF(OR($AB36=0,$AB36=1),1,$AB36),0),1/3)*10</f>
        <v>#VALUE!</v>
      </c>
      <c r="EU36" s="63" t="e">
        <f>ROUND(SQRT(EZ36/($K36/10)*6/IF(OR($AB36=0,$AB36=1),1,$AB36))*10,0)</f>
        <v>#VALUE!</v>
      </c>
      <c r="EV36" s="63" t="e">
        <f>POWER(ROUND(FA36/($K36/10)*12/IF(OR($AB36=0,$AB36=1),1,$AB36),0),1/3)*10</f>
        <v>#VALUE!</v>
      </c>
      <c r="EW36" s="63" t="e">
        <f>ROUNDUP($CX36*POWER($I36*100,2)/8/$DH36,1)</f>
        <v>#VALUE!</v>
      </c>
      <c r="EX36" s="63" t="e">
        <f>ROUNDUP(5*$CX36*POWER($I36*100,4)/(384*VLOOKUP(VALUE(RIGHT($J36,4)),許容応力!$B$6:$K$22,10)*100*$DO36),2)</f>
        <v>#VALUE!</v>
      </c>
      <c r="EY36" s="63"/>
      <c r="EZ36" s="63" t="e">
        <f>ROUNDUP($CY36*POWER($I36*100,2)/8/$DI36,1)</f>
        <v>#VALUE!</v>
      </c>
      <c r="FA36" s="63" t="e">
        <f>ROUNDUP(5*$CY36*POWER($I36*100,4)/(384*VLOOKUP(VALUE(RIGHT($J36,4)),許容応力!$B$6:$K$22,10)*100*$DU36),2)</f>
        <v>#VALUE!</v>
      </c>
      <c r="FB36" s="57"/>
      <c r="FC36" s="57"/>
      <c r="FD36" s="57"/>
      <c r="FE36" s="57"/>
      <c r="FF36" s="57"/>
      <c r="FG36" s="57"/>
      <c r="FH36" s="57"/>
      <c r="FP36" s="390"/>
      <c r="FQ36" s="390"/>
      <c r="FR36" s="390"/>
      <c r="FS36" s="390"/>
      <c r="FT36" s="390"/>
      <c r="FU36" s="390"/>
      <c r="FV36" s="390"/>
      <c r="FW36" s="390"/>
      <c r="FX36" s="390"/>
      <c r="FY36" s="390"/>
      <c r="FZ36" s="390"/>
    </row>
    <row r="37" spans="2:187" ht="15.95" customHeight="1" thickBot="1" x14ac:dyDescent="0.2">
      <c r="B37" s="1345"/>
      <c r="C37" s="1586"/>
      <c r="D37" s="330"/>
      <c r="E37" s="1357"/>
      <c r="F37" s="1166"/>
      <c r="G37" s="1359"/>
      <c r="H37" s="1359"/>
      <c r="I37" s="1359"/>
      <c r="J37" s="1521"/>
      <c r="K37" s="1193">
        <f>+IF(J36=0,0,"丸太末口 φ")</f>
        <v>0</v>
      </c>
      <c r="L37" s="1194"/>
      <c r="M37" s="239">
        <f>IF(J36=0,0,+EQ37)</f>
        <v>0</v>
      </c>
      <c r="N37" s="240" t="str">
        <f t="shared" si="0"/>
        <v/>
      </c>
      <c r="O37" s="1519"/>
      <c r="P37" s="1478"/>
      <c r="Q37" s="1572"/>
      <c r="R37" s="1572"/>
      <c r="S37" s="1617"/>
      <c r="T37" s="1572"/>
      <c r="U37" s="1572"/>
      <c r="V37" s="1019" t="str">
        <f>+W$184</f>
        <v/>
      </c>
      <c r="W37" s="1321"/>
      <c r="X37" s="1497"/>
      <c r="Y37" s="1312"/>
      <c r="Z37" s="1312"/>
      <c r="AA37" s="1254"/>
      <c r="AB37" s="1120"/>
      <c r="AC37" s="206" t="str">
        <f t="shared" si="1"/>
        <v/>
      </c>
      <c r="AD37" s="206" t="str">
        <f t="shared" si="2"/>
        <v/>
      </c>
      <c r="AE37" s="1254"/>
      <c r="AF37" s="206" t="str">
        <f t="shared" si="3"/>
        <v/>
      </c>
      <c r="AG37" s="206" t="str">
        <f t="shared" si="4"/>
        <v/>
      </c>
      <c r="AH37" s="1470"/>
      <c r="AI37" s="817"/>
      <c r="AJ37" s="809"/>
      <c r="AK37" s="822"/>
      <c r="AL37" s="810"/>
      <c r="AM37" s="1301"/>
      <c r="AN37" s="1301"/>
      <c r="AO37" s="1303"/>
      <c r="AP37" s="184">
        <f>+IF(I36=0,0,"1/")</f>
        <v>0</v>
      </c>
      <c r="AQ37" s="185">
        <f>IF(I36=0,0,+DN37)</f>
        <v>0</v>
      </c>
      <c r="AR37" s="23"/>
      <c r="AS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1312"/>
      <c r="CN37" s="1301"/>
      <c r="CO37" s="548"/>
      <c r="CP37" s="9" t="e">
        <f>ROUNDUP(CX37*I36/DS37*100/2/DL37,2)</f>
        <v>#VALUE!</v>
      </c>
      <c r="CQ37" s="9" t="e">
        <f>ROUNDUP(CY37*I36/DS37*100/2/DM37,2)</f>
        <v>#VALUE!</v>
      </c>
      <c r="CR37" s="23" t="e">
        <f t="shared" si="62"/>
        <v>#VALUE!</v>
      </c>
      <c r="CS37" s="9">
        <f>IF(M37=0,0,ROUNDUP(SQRT(AA37*(M37/10-6)*(M37/10-3))/(X37*X37),2))</f>
        <v>0</v>
      </c>
      <c r="CU37" s="63">
        <f t="shared" si="63"/>
        <v>0</v>
      </c>
      <c r="CV37" s="63" t="e">
        <f>ROUNDUP(IF(VALUE(RIGHT($G$3,4))=1,$I$3*30*F36*100,$I$3*20*F36*100),0)</f>
        <v>#VALUE!</v>
      </c>
      <c r="CW37" s="63"/>
      <c r="CX37" s="63">
        <f>ROUNDUP((準備!$G$57/100/DS37+IF(AND(VALUE(RIGHT($G$3,4))=1,$T$3=2),CU37/100*1.2,CU37/100))*(G36+H36)/2,2)</f>
        <v>0</v>
      </c>
      <c r="CY37" s="63" t="e">
        <f>ROUNDUP((準備!$G$57/100/DS37+IF(AND(VALUE(RIGHT($G$3,4))=1,$T$3=2),CV37/100*1.2,CV37/100))*(G36+H36)/2,2)</f>
        <v>#VALUE!</v>
      </c>
      <c r="CZ37" s="63">
        <f>IF(K37=0,0,ROUNDUP($CX37*POWER($I36*100,2)/8/$DF37,1))</f>
        <v>0</v>
      </c>
      <c r="DA37" s="63">
        <f>IF($K37=0,0,ROUNDUP(5*$CX37*POWER($I36*100,4)/(384*VLOOKUP(VALUE(RIGHT($J36,4)),許容応力!$L$6:$U$22,10)*100*$DG37),2))</f>
        <v>0</v>
      </c>
      <c r="DB37" s="78" t="e">
        <f>ROUND((CX37*I36/DS37*100/2+EA37)/Z37,1)</f>
        <v>#DIV/0!</v>
      </c>
      <c r="DC37" s="63" t="e">
        <f>ROUNDUP($CY37*POWER($I36*100,2)/8/$DF37,1)</f>
        <v>#VALUE!</v>
      </c>
      <c r="DD37" s="63" t="e">
        <f>ROUNDUP(5*$CY37*POWER($I36*100,4)/(384*VLOOKUP(VALUE(RIGHT($J36,4)),許容応力!$L$6:$U$22,10)*100*$DG37),2)</f>
        <v>#VALUE!</v>
      </c>
      <c r="DE37" s="78" t="e">
        <f>ROUND((CY37*I36/DS37*100/2+EA37)/Z37,1)</f>
        <v>#VALUE!</v>
      </c>
      <c r="DF37" s="63">
        <f>IF(M37&lt;180,ROUND((M37/10-3)*POWER(M37/10-3,2)/6*IF(AB37=0,1,AB37),0),ROUND((M37/10-5)*POWER(M37/10-3,2)/6*IF($AB37=0,1,$AB37),0))</f>
        <v>-5</v>
      </c>
      <c r="DG37" s="63">
        <f>ROUND(IF(M37&lt;180,(M37/10-3)*POWER((M37/10-3),3)/12*IF(AB37=0,1,AB37),(M37/10-5))*POWER((M37/10-3),3)/12*IF(AB37=0,1,AB37),0)</f>
        <v>-15</v>
      </c>
      <c r="DH37" s="10" t="e">
        <f>IF($DN$6=2,ROUND(VLOOKUP(DQ37,許容応力!$L$6:$U$22,7)*1.1/3*100,0),ROUND(VLOOKUP(DQ37,許容応力!$L$6:$U$22,7)*1.1/3*1.3*100,0))</f>
        <v>#VALUE!</v>
      </c>
      <c r="DI37" s="63" t="e">
        <f>ROUND(VLOOKUP(DQ37,許容応力!$L$6:$U$22,7)*100*2/3*0.8,0)</f>
        <v>#VALUE!</v>
      </c>
      <c r="DJ37" s="10" t="e">
        <f>IF($DN$6=2,ROUND(VLOOKUP(DQ37,許容応力!$L$6:$U$22,8)*1.1/3*100,0),ROUND(VLOOKUP(DQ37,許容応力!$L$6:$U$22,8)*1.1/3*1.3*100,0))</f>
        <v>#VALUE!</v>
      </c>
      <c r="DK37" s="63" t="e">
        <f>ROUND(VLOOKUP(DQ37,許容応力!$L$6:$U$22,8)*100*2/3*0.8,0)</f>
        <v>#VALUE!</v>
      </c>
      <c r="DL37" s="10" t="e">
        <f>IF($DN$6=2,ROUND(VLOOKUP(DQ37,許容応力!$L$6:$U$22,9)*1.1/3*100,0),ROUND(VLOOKUP(DQ37,許容応力!$L$6:$U$22,9)*1.1/3*1.3*100,0))</f>
        <v>#VALUE!</v>
      </c>
      <c r="DM37" s="63" t="e">
        <f>ROUND(VLOOKUP(DQ37,許容応力!$L$6:$U$22,9)*100*2/3*0.8,0)</f>
        <v>#VALUE!</v>
      </c>
      <c r="DN37" s="63">
        <f t="shared" si="7"/>
        <v>200</v>
      </c>
      <c r="DO37" s="63">
        <f>ROUND(I36*100/DN37,2)</f>
        <v>0</v>
      </c>
      <c r="DP37" s="63"/>
      <c r="DQ37" s="63" t="e">
        <f>+VALUE(RIGHT(J36,3))</f>
        <v>#VALUE!</v>
      </c>
      <c r="DR37" s="69">
        <f>ROUND(ATAN(E36/10)*180/PI(),4)</f>
        <v>0</v>
      </c>
      <c r="DS37" s="70">
        <f t="shared" si="64"/>
        <v>1</v>
      </c>
      <c r="DT37" s="63">
        <f>VLOOKUP(VALUE(RIGHT(C36,4)),$C$632:$F$641,4)</f>
        <v>200</v>
      </c>
      <c r="DU37" s="63">
        <f>ROUND(I36*100/DT37,2)</f>
        <v>0</v>
      </c>
      <c r="DV37" s="63"/>
      <c r="DW37" s="63"/>
      <c r="DX37" s="78" t="e">
        <f>ROUNDUP((準備!$F$60/100+準備!$E$48/100)*($G36+$H36)/2,2)</f>
        <v>#N/A</v>
      </c>
      <c r="DY37" s="71">
        <f>IF(I36&lt;6,POWER(M37/10,2)*I36/10000,POWER((M37/10+(ROUNDDOWN(I36,0)-4)/2),2)*I36/10000)</f>
        <v>0</v>
      </c>
      <c r="DZ37" s="63">
        <v>200</v>
      </c>
      <c r="EA37" s="84">
        <f>ROUND(DY37*DZ37/100,0)</f>
        <v>0</v>
      </c>
      <c r="EB37" s="78" t="e">
        <f>ROUND((CX37*I36/DS37*100/2+EA37)/AM37,1)</f>
        <v>#DIV/0!</v>
      </c>
      <c r="EC37" s="63" t="e">
        <f t="shared" si="65"/>
        <v>#DIV/0!</v>
      </c>
      <c r="ED37" s="78" t="e">
        <f>ROUND((CY37*I36/DS37*100/2+EA37)/AM37,1)</f>
        <v>#VALUE!</v>
      </c>
      <c r="EE37" s="63" t="e">
        <f t="shared" si="66"/>
        <v>#VALUE!</v>
      </c>
      <c r="EF37" s="63"/>
      <c r="EG37" s="63"/>
      <c r="EH37" s="588"/>
      <c r="EI37" s="78" t="str">
        <f>IF(M37=0,"",ROUND(CX37*I36/DS37*100/2/DJ37,2))</f>
        <v/>
      </c>
      <c r="EJ37" s="78" t="str">
        <f>IF(M37=0,"",ROUND(CY37*I36/DS37*100/2/DK37,2))</f>
        <v/>
      </c>
      <c r="EK37" s="63"/>
      <c r="EL37" s="63" t="e">
        <f>IF(AB37=0.8,VLOOKUP(ER37,$CR$395:$CS$439,2),IF(AB37=0.9,VLOOKUP(ER37,$CR$348:$CS$394,2),VLOOKUP(ER37,$CR$301:$CS$344,2)))</f>
        <v>#VALUE!</v>
      </c>
      <c r="EM37" s="63" t="e">
        <f>IF(AB37=0.8,VLOOKUP(ES37,$CT$395:$CU$439,2),IF(AB37=0.9,VLOOKUP(ES37,$CT$348:$CU$394,2),VLOOKUP(ES37,$CT$301:$CU$344,2)))</f>
        <v>#VALUE!</v>
      </c>
      <c r="EO37" s="63" t="e">
        <f>IF(AB37=0.8,VLOOKUP(EU37,$CR$395:$CS$439,2),IF(AB37=0.9,VLOOKUP(EU37,$CR$348:$CS$394,2),VLOOKUP(EU37,$CR$301:$CS$344,2)))</f>
        <v>#VALUE!</v>
      </c>
      <c r="EP37" s="63" t="e">
        <f>IF(AB37=0.8,VLOOKUP(EV37,$CT$395:$CU$439,2),IF(AB37=0.9,VLOOKUP(EV37,$CT$348:$CU$394,2),VLOOKUP(EV37,$CT$301:$CU$344,2)))</f>
        <v>#VALUE!</v>
      </c>
      <c r="EQ37" s="155" t="e">
        <f t="shared" si="67"/>
        <v>#VALUE!</v>
      </c>
      <c r="ER37" s="63" t="e">
        <f>ROUNDUP($CX37*POWER($I36*100,2)/8/$DH37,1)</f>
        <v>#VALUE!</v>
      </c>
      <c r="ES37" s="63" t="e">
        <f>ROUNDUP(5*$CX37*POWER($I36*100,4)/(384*VLOOKUP(VALUE(RIGHT($J36,4)),許容応力!$B$6:$K$22,10)*100*$DO37),2)</f>
        <v>#VALUE!</v>
      </c>
      <c r="ET37" s="63"/>
      <c r="EU37" s="63" t="e">
        <f>ROUNDUP($CY37*POWER($I36*100,2)/8/$DI37,1)</f>
        <v>#VALUE!</v>
      </c>
      <c r="EV37" s="63" t="e">
        <f>ROUNDUP(5*$CY37*POWER($I36*100,4)/(384*VLOOKUP(VALUE(RIGHT($J36,4)),許容応力!$B$6:$K$22,10)*100*$DU37),2)</f>
        <v>#VALUE!</v>
      </c>
      <c r="EW37" s="63"/>
      <c r="EX37" s="63"/>
      <c r="EY37" s="63"/>
      <c r="EZ37" s="63"/>
      <c r="FA37" s="63"/>
      <c r="FB37" s="57"/>
      <c r="FC37" s="57"/>
      <c r="FD37" s="57"/>
      <c r="FE37" s="57"/>
      <c r="FF37" s="57"/>
      <c r="FG37" s="57"/>
      <c r="FH37" s="57"/>
    </row>
    <row r="38" spans="2:187" ht="15.95" customHeight="1" thickBot="1" x14ac:dyDescent="0.2">
      <c r="B38" s="1345"/>
      <c r="C38" s="1586" t="s">
        <v>955</v>
      </c>
      <c r="D38" s="331"/>
      <c r="E38" s="1357"/>
      <c r="F38" s="1165" t="str">
        <f>IF(E38=0,"",ROUND(SQRT(COS(DR38*1.5*PI()/180)),3))</f>
        <v/>
      </c>
      <c r="G38" s="1359"/>
      <c r="H38" s="1359"/>
      <c r="I38" s="1517"/>
      <c r="J38" s="1479"/>
      <c r="K38" s="1116"/>
      <c r="L38" s="196">
        <f>+IF(K38=0,0,"×")</f>
        <v>0</v>
      </c>
      <c r="M38" s="241">
        <f>IF(K38=0,0,+EQ38)</f>
        <v>0</v>
      </c>
      <c r="N38" s="242" t="str">
        <f t="shared" si="0"/>
        <v/>
      </c>
      <c r="O38" s="1520">
        <f t="shared" ref="O38" si="80">IF(Z38=0,0,IF(AND(U38=0,X38=0),0,IF(IF(AE38&gt;=AH38,AE38,AH38)&lt;=1,"OK!","NO!")))</f>
        <v>0</v>
      </c>
      <c r="P38" s="1478"/>
      <c r="Q38" s="1574"/>
      <c r="R38" s="1574"/>
      <c r="S38" s="1618">
        <f t="shared" ref="S38:S40" si="81">+IF(R38=0,0,6)</f>
        <v>0</v>
      </c>
      <c r="T38" s="1574"/>
      <c r="U38" s="1574"/>
      <c r="V38" s="196" t="str">
        <f>+X$185</f>
        <v/>
      </c>
      <c r="W38" s="1224">
        <f>IF(U38=0,0,+VLOOKUP(V38,$I$204:$J$209,2))</f>
        <v>0</v>
      </c>
      <c r="X38" s="1503"/>
      <c r="Y38" s="1490">
        <f>IF(X38=0,0,+CS38)</f>
        <v>0</v>
      </c>
      <c r="Z38" s="1481">
        <f>IF(AND(R38=0,X38=0),0,+IF(AND(VALUE(RIGHT(P38,4))=2,R38&gt;0),0,IF(AND(VALUE(RIGHT(P38,4))=1,X38&gt;0),0,CM38)))</f>
        <v>0</v>
      </c>
      <c r="AA38" s="1471">
        <f>IF(X38=0,0,IF(EI38&gt;=EJ38,EI38,EJ38))</f>
        <v>0</v>
      </c>
      <c r="AB38" s="1121"/>
      <c r="AC38" s="201" t="str">
        <f t="shared" si="1"/>
        <v/>
      </c>
      <c r="AD38" s="201" t="str">
        <f t="shared" si="2"/>
        <v/>
      </c>
      <c r="AE38" s="1471">
        <f>IF(F38=+"",0,IF(AND(U38=0,X38=0),0,IF(X38=0,ROUND(DB38/(DJ38*$CP$4*W38),2),ROUND(DB38/DJ38,2))))</f>
        <v>0</v>
      </c>
      <c r="AF38" s="201" t="str">
        <f t="shared" si="3"/>
        <v/>
      </c>
      <c r="AG38" s="201" t="str">
        <f t="shared" si="4"/>
        <v/>
      </c>
      <c r="AH38" s="1471">
        <f>IF(F38=+"",0,IF(AND(U38=0,X38=0),0,IF(X38=0,ROUND(DE38/(DK38*$CP$4*W38),2),ROUND(DE38/DK38,2))))</f>
        <v>0</v>
      </c>
      <c r="AI38" s="818"/>
      <c r="AJ38" s="811"/>
      <c r="AK38" s="823"/>
      <c r="AL38" s="812"/>
      <c r="AM38" s="1300">
        <f>IF(AI38=0,0,ROUND(AI38*AJ38+AK38*AL38+AI39*AJ39+AK39*AL39,2))</f>
        <v>0</v>
      </c>
      <c r="AN38" s="1300">
        <f t="shared" ref="AN38" si="82">IF(AJ38=0,0,IF(CO38=1,CN38/($CP$4*W38),CN38))</f>
        <v>0</v>
      </c>
      <c r="AO38" s="1302" t="str">
        <f t="shared" ref="AO38" si="83">IF(AN38=0,"",IF(AN38&lt;=1,"OK!","NO!"))</f>
        <v/>
      </c>
      <c r="AP38" s="182">
        <f>+IF(I38=0,0,"1/")</f>
        <v>0</v>
      </c>
      <c r="AQ38" s="183">
        <f>IF(I38=0,0,+DN38)</f>
        <v>0</v>
      </c>
      <c r="AR38" s="23"/>
      <c r="AS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1313">
        <f>IF(AND(U38=0,X38=0),0,IF(U38&gt;0,X$196/100*$CP$4*W38,ROUND(POWER(X38*Y38,2)/(K38/10*M38/10),2)))</f>
        <v>0</v>
      </c>
      <c r="CN38" s="1304" t="str">
        <f>IF($AJ38=0,"",IF($EC38&gt;=$EE38,$EC38,$EE38))</f>
        <v/>
      </c>
      <c r="CO38" s="552">
        <f>IF(P38=0,0,+VALUE(RIGHT(P38,4)))</f>
        <v>0</v>
      </c>
      <c r="CP38" s="91" t="e">
        <f>ROUNDUP(CX38*I38/DS38*100/2/DL38,2)</f>
        <v>#VALUE!</v>
      </c>
      <c r="CQ38" s="91" t="e">
        <f>ROUNDUP(CY38*I38/DS38*100/2/DM38,2)</f>
        <v>#VALUE!</v>
      </c>
      <c r="CR38" s="23" t="e">
        <f t="shared" si="62"/>
        <v>#VALUE!</v>
      </c>
      <c r="CS38" s="9">
        <f>IF(M38=0,0,ROUNDUP(SQRT((AA38*K38/10*M38/10)/(X38*X38)),2))</f>
        <v>0</v>
      </c>
      <c r="CU38" s="63">
        <f t="shared" si="63"/>
        <v>0</v>
      </c>
      <c r="CV38" s="63" t="e">
        <f>ROUNDUP(IF(VALUE(RIGHT($G$3,4))=1,$I$3*30*F38*100,$I$3*20*F38*100),0)</f>
        <v>#VALUE!</v>
      </c>
      <c r="CW38" s="63"/>
      <c r="CX38" s="63">
        <f>ROUNDUP((準備!$G$57/100/DS38+IF(AND(VALUE(RIGHT($G$3,4))=1,$T$3=2),CU38/100*1.2,CU38/100))*(G38+H38)/2,2)</f>
        <v>0</v>
      </c>
      <c r="CY38" s="63" t="e">
        <f>ROUNDUP((準備!$G$57/100/DS38+IF(AND(VALUE(RIGHT($G$3,4))=1,$T$3=2),CV38/100*1.2,CV38/100))*(G38+H38)/2,2)</f>
        <v>#VALUE!</v>
      </c>
      <c r="CZ38" s="63" t="e">
        <f>ROUNDUP($CX38*POWER($I38*100,2)/8/$DF38,1)</f>
        <v>#DIV/0!</v>
      </c>
      <c r="DA38" s="63" t="e">
        <f>ROUNDUP(5*$CX38*POWER($I38*100,4)/(384*VLOOKUP(VALUE(RIGHT($J38,4)),許容応力!$B$6:$K$22,10)*100*$DG38),2)</f>
        <v>#VALUE!</v>
      </c>
      <c r="DB38" s="87" t="e">
        <f>ROUND(CX38*I38/DS38*100/2/Z38,1)</f>
        <v>#DIV/0!</v>
      </c>
      <c r="DC38" s="63" t="e">
        <f>ROUNDUP($CY38*POWER($I38*100,2)/8/$DF38,1)</f>
        <v>#VALUE!</v>
      </c>
      <c r="DD38" s="63" t="e">
        <f>ROUNDUP(5*$CY38*POWER($I38*100,4)/(384*VLOOKUP(VALUE(RIGHT($J38,4)),許容応力!$B$6:$K$22,10)*100*$DG38),2)</f>
        <v>#VALUE!</v>
      </c>
      <c r="DE38" s="87" t="e">
        <f>ROUND(CY38*I38/DS38*100/2/Z38,1)</f>
        <v>#VALUE!</v>
      </c>
      <c r="DF38" s="63">
        <f>ROUNDDOWN($K38/10*POWER($M38/10,2)/6*IF(OR($AB38=0,$AB38=1),1,$AB38),0)</f>
        <v>0</v>
      </c>
      <c r="DG38" s="63">
        <f>ROUNDDOWN($K38/10*POWER($M38/10,3)/12*IF(OR($AB38=0,$AB38=1),1,$AB38),0)</f>
        <v>0</v>
      </c>
      <c r="DH38" s="10" t="e">
        <f>IF($DN$6=2,ROUND(VLOOKUP(DQ38,許容応力!$B$6:$K$22,7)*1.1/3*100,0),ROUND(VLOOKUP(DQ38,許容応力!$B$6:$K$22,7)*1.1/3*1.3*100,0))</f>
        <v>#VALUE!</v>
      </c>
      <c r="DI38" s="87" t="e">
        <f>ROUND(VLOOKUP(DQ38,許容応力!$B$6:$K$22,7)*100*2/3*0.8,0)</f>
        <v>#VALUE!</v>
      </c>
      <c r="DJ38" s="10" t="e">
        <f>IF($DN$6=2,ROUND(VLOOKUP(DQ38,許容応力!$B$6:$K$22,8)*1.1/3*100,0),ROUND(VLOOKUP(DQ38,許容応力!$B$6:$K$22,8)*1.1/3*1.3*100,0))</f>
        <v>#VALUE!</v>
      </c>
      <c r="DK38" s="87" t="e">
        <f>ROUND(VLOOKUP(DQ38,許容応力!$B$6:$K$22,8)*100*2/3*0.8,0)</f>
        <v>#VALUE!</v>
      </c>
      <c r="DL38" s="10" t="e">
        <f>IF($DN$6=2,ROUND(VLOOKUP(DQ38,許容応力!$B$6:$K$22,9)*1.1/3*100,0),ROUND(VLOOKUP(DQ38,許容応力!$B$6:$K$22,9)*1.1/3*1.3*100,0))</f>
        <v>#VALUE!</v>
      </c>
      <c r="DM38" s="87" t="e">
        <f>ROUND(VLOOKUP(DQ38,許容応力!$B$6:$K$22,9)*100*2/3*0.8,0)</f>
        <v>#VALUE!</v>
      </c>
      <c r="DN38" s="63">
        <f t="shared" si="7"/>
        <v>200</v>
      </c>
      <c r="DO38" s="63">
        <f>ROUND(I38*100/DN38,2)</f>
        <v>0</v>
      </c>
      <c r="DP38" s="63"/>
      <c r="DQ38" s="63" t="e">
        <f>+VALUE(RIGHT(J38,3))</f>
        <v>#VALUE!</v>
      </c>
      <c r="DR38" s="69">
        <f>ROUND(ATAN(E38/10)*180/PI(),4)</f>
        <v>0</v>
      </c>
      <c r="DS38" s="70">
        <f t="shared" si="64"/>
        <v>1</v>
      </c>
      <c r="DT38" s="63">
        <f>VLOOKUP(VALUE(RIGHT(C38,4)),$C$632:$F$641,4)</f>
        <v>200</v>
      </c>
      <c r="DU38" s="63">
        <f>ROUND(I38*100/DT38,2)</f>
        <v>0</v>
      </c>
      <c r="DV38" s="63"/>
      <c r="DW38" s="63"/>
      <c r="DX38" s="87" t="e">
        <f>ROUNDUP((準備!$F$60/100+準備!$E$48/100)*($G38+$H38)/2,2)</f>
        <v>#N/A</v>
      </c>
      <c r="DY38" s="63"/>
      <c r="DZ38" s="63"/>
      <c r="EA38" s="63"/>
      <c r="EB38" s="87" t="e">
        <f>ROUND(CX38*I38/DS38*100/2/AM38,1)</f>
        <v>#DIV/0!</v>
      </c>
      <c r="EC38" s="63" t="e">
        <f t="shared" si="65"/>
        <v>#DIV/0!</v>
      </c>
      <c r="ED38" s="87" t="e">
        <f>ROUND(CY38*I38/DS38*100/2/AM38,1)</f>
        <v>#VALUE!</v>
      </c>
      <c r="EE38" s="63" t="e">
        <f t="shared" si="66"/>
        <v>#VALUE!</v>
      </c>
      <c r="EF38" s="588"/>
      <c r="EG38" s="588"/>
      <c r="EH38" s="63"/>
      <c r="EI38" s="87" t="str">
        <f>IF(M38=0,"",ROUND(CX38*I38/DS38*100/2/DJ38,2))</f>
        <v/>
      </c>
      <c r="EJ38" s="87" t="str">
        <f>IF(M38=0,"",ROUND(CY38*I38/DS38*100/2/DK38,2))</f>
        <v/>
      </c>
      <c r="EK38" s="63"/>
      <c r="EL38" s="63" t="e">
        <f>ROUNDUP(ER38/3,-1)*3</f>
        <v>#VALUE!</v>
      </c>
      <c r="EM38" s="63" t="e">
        <f>ROUNDUP(ES38/3,-1)*3</f>
        <v>#VALUE!</v>
      </c>
      <c r="EO38" s="63" t="e">
        <f>ROUNDUP(EU38/3,-1)*3</f>
        <v>#VALUE!</v>
      </c>
      <c r="EP38" s="63" t="e">
        <f>ROUNDUP(EV38/3,-1)*3</f>
        <v>#VALUE!</v>
      </c>
      <c r="EQ38" s="155" t="e">
        <f t="shared" si="67"/>
        <v>#VALUE!</v>
      </c>
      <c r="ER38" s="63" t="e">
        <f>ROUND(SQRT(EW38/($K38/10)*6/IF(OR($AB38=0,$AB38=1),1,$AB38))*10,0)</f>
        <v>#VALUE!</v>
      </c>
      <c r="ES38" s="63" t="e">
        <f>POWER(ROUND(EX38/($K38/10)*12/IF(OR($AB38=0,$AB38=1),1,$AB38),0),1/3)*10</f>
        <v>#VALUE!</v>
      </c>
      <c r="EU38" s="63" t="e">
        <f>ROUND(SQRT(EZ38/($K38/10)*6/IF(OR($AB38=0,$AB38=1),1,$AB38))*10,0)</f>
        <v>#VALUE!</v>
      </c>
      <c r="EV38" s="63" t="e">
        <f>POWER(ROUND(FA38/($K38/10)*12/IF(OR($AB38=0,$AB38=1),1,$AB38),0),1/3)*10</f>
        <v>#VALUE!</v>
      </c>
      <c r="EW38" s="63" t="e">
        <f>ROUNDUP($CX38*POWER($I38*100,2)/8/$DH38,1)</f>
        <v>#VALUE!</v>
      </c>
      <c r="EX38" s="63" t="e">
        <f>ROUNDUP(5*$CX38*POWER($I38*100,4)/(384*VLOOKUP(VALUE(RIGHT($J38,4)),許容応力!$B$6:$K$22,10)*100*$DO38),2)</f>
        <v>#VALUE!</v>
      </c>
      <c r="EY38" s="63"/>
      <c r="EZ38" s="63" t="e">
        <f>ROUNDUP($CY38*POWER($I38*100,2)/8/$DI38,1)</f>
        <v>#VALUE!</v>
      </c>
      <c r="FA38" s="63" t="e">
        <f>ROUNDUP(5*$CY38*POWER($I38*100,4)/(384*VLOOKUP(VALUE(RIGHT($J38,4)),許容応力!$B$6:$K$22,10)*100*$DU38),2)</f>
        <v>#VALUE!</v>
      </c>
      <c r="FB38" s="57"/>
      <c r="FC38" s="57"/>
      <c r="FD38" s="57"/>
      <c r="FE38" s="57"/>
      <c r="FF38" s="57"/>
      <c r="FG38" s="57"/>
      <c r="FH38" s="57"/>
    </row>
    <row r="39" spans="2:187" ht="15.95" customHeight="1" thickBot="1" x14ac:dyDescent="0.2">
      <c r="B39" s="1346"/>
      <c r="C39" s="1586"/>
      <c r="D39" s="332"/>
      <c r="E39" s="1574"/>
      <c r="F39" s="1224"/>
      <c r="G39" s="1517"/>
      <c r="H39" s="1517"/>
      <c r="I39" s="1360"/>
      <c r="J39" s="1569"/>
      <c r="K39" s="1201">
        <f>+IF(J38=0,0,"丸太末口 φ")</f>
        <v>0</v>
      </c>
      <c r="L39" s="1202"/>
      <c r="M39" s="243">
        <f>IF(J38=0,0,+EQ39)</f>
        <v>0</v>
      </c>
      <c r="N39" s="244" t="str">
        <f t="shared" si="0"/>
        <v/>
      </c>
      <c r="O39" s="1570"/>
      <c r="P39" s="1479"/>
      <c r="Q39" s="1573"/>
      <c r="R39" s="1573"/>
      <c r="S39" s="1619"/>
      <c r="T39" s="1573"/>
      <c r="U39" s="1573"/>
      <c r="V39" s="1021" t="str">
        <f>+X$184</f>
        <v/>
      </c>
      <c r="W39" s="1622"/>
      <c r="X39" s="1504"/>
      <c r="Y39" s="1482"/>
      <c r="Z39" s="1482"/>
      <c r="AA39" s="1492"/>
      <c r="AB39" s="1122"/>
      <c r="AC39" s="208" t="str">
        <f t="shared" si="1"/>
        <v/>
      </c>
      <c r="AD39" s="208" t="str">
        <f t="shared" si="2"/>
        <v/>
      </c>
      <c r="AE39" s="1492"/>
      <c r="AF39" s="208" t="str">
        <f t="shared" si="3"/>
        <v/>
      </c>
      <c r="AG39" s="208" t="str">
        <f t="shared" si="4"/>
        <v/>
      </c>
      <c r="AH39" s="1472"/>
      <c r="AI39" s="819"/>
      <c r="AJ39" s="813"/>
      <c r="AK39" s="824"/>
      <c r="AL39" s="814"/>
      <c r="AM39" s="1301"/>
      <c r="AN39" s="1634"/>
      <c r="AO39" s="1372"/>
      <c r="AP39" s="189">
        <f>+IF(I38=0,0,"1/")</f>
        <v>0</v>
      </c>
      <c r="AQ39" s="193">
        <f>IF(I38=0,0,+DN39)</f>
        <v>0</v>
      </c>
      <c r="AR39" s="23"/>
      <c r="AS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1312"/>
      <c r="CN39" s="1301"/>
      <c r="CO39" s="548"/>
      <c r="CP39" s="9" t="e">
        <f>ROUNDUP(CX39*I38/DS39*100/2/DL39,2)</f>
        <v>#VALUE!</v>
      </c>
      <c r="CQ39" s="9" t="e">
        <f>ROUNDUP(CY39*I38/DS39*100/2/DM39,2)</f>
        <v>#VALUE!</v>
      </c>
      <c r="CR39" s="23" t="e">
        <f t="shared" si="62"/>
        <v>#VALUE!</v>
      </c>
      <c r="CS39" s="9">
        <f>IF(M39=0,0,ROUNDUP(SQRT(AA39*(M39/10-6)*(M39/10-3))/(X39*X39),2))</f>
        <v>0</v>
      </c>
      <c r="CU39" s="63">
        <f t="shared" si="63"/>
        <v>0</v>
      </c>
      <c r="CV39" s="63" t="e">
        <f>ROUNDUP(IF(VALUE(RIGHT($G$3,4))=1,$I$3*30*F38*100,$I$3*20*F38*100),0)</f>
        <v>#VALUE!</v>
      </c>
      <c r="CW39" s="63"/>
      <c r="CX39" s="63">
        <f>ROUNDUP((準備!$G$57/100/DS39+IF(AND(VALUE(RIGHT($G$3,4))=1,$T$3=2),CU39/100*1.2,CU39/100))*(G38+H38)/2,2)</f>
        <v>0</v>
      </c>
      <c r="CY39" s="63" t="e">
        <f>ROUNDUP((準備!$G$57/100/DS39+IF(AND(VALUE(RIGHT($G$3,4))=1,$T$3=2),CV39/100*1.2,CV39/100))*(G38+H38)/2,2)</f>
        <v>#VALUE!</v>
      </c>
      <c r="CZ39" s="63">
        <f>IF(K39=0,0,ROUNDUP($CX39*POWER($I38*100,2)/8/$DF39,1))</f>
        <v>0</v>
      </c>
      <c r="DA39" s="63">
        <f>IF($K39=0,0,ROUNDUP(5*$CX39*POWER($I38*100,4)/(384*VLOOKUP(VALUE(RIGHT($J38,4)),許容応力!$L$6:$U$22,10)*100*$DG39),2))</f>
        <v>0</v>
      </c>
      <c r="DB39" s="78" t="e">
        <f>ROUND((CX39*I38/DS39*100/2+EA39)/Z39,1)</f>
        <v>#DIV/0!</v>
      </c>
      <c r="DC39" s="63" t="e">
        <f>ROUNDUP($CY39*POWER($I38*100,2)/8/$DF39,1)</f>
        <v>#VALUE!</v>
      </c>
      <c r="DD39" s="63" t="e">
        <f>ROUNDUP(5*$CY39*POWER($I38*100,4)/(384*VLOOKUP(VALUE(RIGHT($J38,4)),許容応力!$L$6:$U$22,10)*100*$DG39),2)</f>
        <v>#VALUE!</v>
      </c>
      <c r="DE39" s="78" t="e">
        <f>ROUND((CY39*I38/DS39*100/2+EA39)/Z39,1)</f>
        <v>#VALUE!</v>
      </c>
      <c r="DF39" s="63">
        <f>IF(M39&lt;180,ROUND((M39/10-3)*POWER(M39/10-3,2)/6*IF(AB39=0,1,AB39),0),ROUND((M39/10-5)*POWER(M39/10-3,2)/6*IF($AB39=0,1,$AB39),0))</f>
        <v>-5</v>
      </c>
      <c r="DG39" s="63">
        <f>ROUND(IF(M39&lt;180,(M39/10-3)*POWER((M39/10-3),3)/12*IF(AB39=0,1,AB39),(M39/10-5))*POWER((M39/10-3),3)/12*IF(AB39=0,1,AB39),0)</f>
        <v>-15</v>
      </c>
      <c r="DH39" s="10" t="e">
        <f>IF($DN$6=2,ROUND(VLOOKUP(DQ39,許容応力!$L$6:$U$22,7)*1.1/3*100,0),ROUND(VLOOKUP(DQ39,許容応力!$L$6:$U$22,7)*1.1/3*1.3*100,0))</f>
        <v>#VALUE!</v>
      </c>
      <c r="DI39" s="63" t="e">
        <f>ROUND(VLOOKUP(DQ39,許容応力!$L$6:$U$22,7)*100*2/3*0.8,0)</f>
        <v>#VALUE!</v>
      </c>
      <c r="DJ39" s="10" t="e">
        <f>IF($DN$6=2,ROUND(VLOOKUP(DQ39,許容応力!$L$6:$U$22,8)*1.1/3*100,0),ROUND(VLOOKUP(DQ39,許容応力!$L$6:$U$22,8)*1.1/3*1.3*100,0))</f>
        <v>#VALUE!</v>
      </c>
      <c r="DK39" s="63" t="e">
        <f>ROUND(VLOOKUP(DQ39,許容応力!$L$6:$U$22,8)*100*2/3*0.8,0)</f>
        <v>#VALUE!</v>
      </c>
      <c r="DL39" s="10" t="e">
        <f>IF($DN$6=2,ROUND(VLOOKUP(DQ39,許容応力!$L$6:$U$22,9)*1.1/3*100,0),ROUND(VLOOKUP(DQ39,許容応力!$L$6:$U$22,9)*1.1/3*1.3*100,0))</f>
        <v>#VALUE!</v>
      </c>
      <c r="DM39" s="63" t="e">
        <f>ROUND(VLOOKUP(DQ39,許容応力!$L$6:$U$22,9)*100*2/3*0.8,0)</f>
        <v>#VALUE!</v>
      </c>
      <c r="DN39" s="63">
        <f t="shared" si="7"/>
        <v>200</v>
      </c>
      <c r="DO39" s="63">
        <f>ROUND(I38*100/DN39,2)</f>
        <v>0</v>
      </c>
      <c r="DP39" s="63"/>
      <c r="DQ39" s="63" t="e">
        <f>+VALUE(RIGHT(J38,3))</f>
        <v>#VALUE!</v>
      </c>
      <c r="DR39" s="69">
        <f>ROUND(ATAN(E38/10)*180/PI(),4)</f>
        <v>0</v>
      </c>
      <c r="DS39" s="70">
        <f t="shared" si="64"/>
        <v>1</v>
      </c>
      <c r="DT39" s="63">
        <f>VLOOKUP(VALUE(RIGHT(C38,4)),$C$632:$F$641,4)</f>
        <v>200</v>
      </c>
      <c r="DU39" s="63">
        <f>ROUND(I38*100/DT39,2)</f>
        <v>0</v>
      </c>
      <c r="DV39" s="63"/>
      <c r="DW39" s="63"/>
      <c r="DX39" s="78" t="e">
        <f>ROUNDUP((準備!$F$60/100+準備!$E$48/100)*($G38+$H38)/2,2)</f>
        <v>#N/A</v>
      </c>
      <c r="DY39" s="71">
        <f>IF(I38&lt;6,POWER(M39/10,2)*I38/10000,POWER((M39/10+(ROUNDDOWN(I38,0)-4)/2),2)*I38/10000)</f>
        <v>0</v>
      </c>
      <c r="DZ39" s="63">
        <v>200</v>
      </c>
      <c r="EA39" s="84">
        <f>ROUND(DY39*DZ39/100,0)</f>
        <v>0</v>
      </c>
      <c r="EB39" s="78" t="e">
        <f>ROUND((CX39*I38/DS39*100/2+EA39)/AM39,1)</f>
        <v>#DIV/0!</v>
      </c>
      <c r="EC39" s="63" t="e">
        <f t="shared" si="65"/>
        <v>#DIV/0!</v>
      </c>
      <c r="ED39" s="78" t="e">
        <f>ROUND((CY39*I38/DS39*100/2+EA39)/AM39,1)</f>
        <v>#VALUE!</v>
      </c>
      <c r="EE39" s="63" t="e">
        <f t="shared" si="66"/>
        <v>#VALUE!</v>
      </c>
      <c r="EF39" s="63"/>
      <c r="EG39" s="63"/>
      <c r="EH39" s="588"/>
      <c r="EI39" s="78" t="str">
        <f>IF(M39=0,"",ROUND(CX39*I38/DS39*100/2/DJ39,2))</f>
        <v/>
      </c>
      <c r="EJ39" s="78" t="str">
        <f>IF(M39=0,"",ROUND(CY39*I38/DS39*100/2/DK39,2))</f>
        <v/>
      </c>
      <c r="EK39" s="63"/>
      <c r="EL39" s="63" t="e">
        <f>IF(AB39=0.8,VLOOKUP(ER39,$CR$395:$CS$439,2),IF(AB39=0.9,VLOOKUP(ER39,$CR$348:$CS$394,2),VLOOKUP(ER39,$CR$301:$CS$344,2)))</f>
        <v>#VALUE!</v>
      </c>
      <c r="EM39" s="63" t="e">
        <f>IF(AB39=0.8,VLOOKUP(ES39,$CT$395:$CU$439,2),IF(AB39=0.9,VLOOKUP(ES39,$CT$348:$CU$394,2),VLOOKUP(ES39,$CT$301:$CU$344,2)))</f>
        <v>#VALUE!</v>
      </c>
      <c r="EO39" s="63" t="e">
        <f>IF(AB39=0.8,VLOOKUP(EU39,$CR$395:$CS$439,2),IF(AB39=0.9,VLOOKUP(EU39,$CR$348:$CS$394,2),VLOOKUP(EU39,$CR$301:$CS$344,2)))</f>
        <v>#VALUE!</v>
      </c>
      <c r="EP39" s="63" t="e">
        <f>IF(AB39=0.8,VLOOKUP(EV39,$CT$395:$CU$439,2),IF(AB39=0.9,VLOOKUP(EV39,$CT$348:$CU$394,2),VLOOKUP(EV39,$CT$301:$CU$344,2)))</f>
        <v>#VALUE!</v>
      </c>
      <c r="EQ39" s="155" t="e">
        <f t="shared" si="67"/>
        <v>#VALUE!</v>
      </c>
      <c r="ER39" s="63" t="e">
        <f>ROUNDUP($CX39*POWER($I38*100,2)/8/$DH39,1)</f>
        <v>#VALUE!</v>
      </c>
      <c r="ES39" s="63" t="e">
        <f>ROUNDUP(5*$CX39*POWER($I38*100,4)/(384*VLOOKUP(VALUE(RIGHT($J38,4)),許容応力!$B$6:$K$22,10)*100*$DO39),2)</f>
        <v>#VALUE!</v>
      </c>
      <c r="ET39" s="63"/>
      <c r="EU39" s="63" t="e">
        <f>ROUNDUP($CY39*POWER($I38*100,2)/8/$DI39,1)</f>
        <v>#VALUE!</v>
      </c>
      <c r="EV39" s="63" t="e">
        <f>ROUNDUP(5*$CY39*POWER($I38*100,4)/(384*VLOOKUP(VALUE(RIGHT($J38,4)),許容応力!$B$6:$K$22,10)*100*$DU39),2)</f>
        <v>#VALUE!</v>
      </c>
      <c r="EW39" s="63"/>
      <c r="EX39" s="63"/>
      <c r="EY39" s="63"/>
      <c r="EZ39" s="63"/>
      <c r="FA39" s="63"/>
      <c r="FB39" s="113"/>
      <c r="FC39" s="113"/>
      <c r="FD39" s="113"/>
      <c r="FE39" s="57"/>
      <c r="FF39" s="57"/>
      <c r="FG39" s="57"/>
      <c r="FH39" s="57"/>
    </row>
    <row r="40" spans="2:187" ht="15.95" customHeight="1" thickBot="1" x14ac:dyDescent="0.2">
      <c r="B40" s="1587" t="s">
        <v>1254</v>
      </c>
      <c r="C40" s="1638" t="s">
        <v>817</v>
      </c>
      <c r="D40" s="329"/>
      <c r="E40" s="1582"/>
      <c r="F40" s="1583"/>
      <c r="G40" s="1584"/>
      <c r="H40" s="1584"/>
      <c r="I40" s="1584"/>
      <c r="J40" s="1579"/>
      <c r="K40" s="1125"/>
      <c r="L40" s="197">
        <f>+IF(K40=0,0,"×")</f>
        <v>0</v>
      </c>
      <c r="M40" s="245">
        <f>IF(K40=0,0,+EQ40)</f>
        <v>0</v>
      </c>
      <c r="N40" s="246" t="str">
        <f t="shared" si="0"/>
        <v/>
      </c>
      <c r="O40" s="1518">
        <f>IF(Z40=0,0,IF(AND(U40=0,X40=0),0,IF(IF(AE40&gt;=AH40,AE40,AH40)&lt;=1,"OK!","NO!")))</f>
        <v>0</v>
      </c>
      <c r="P40" s="1480"/>
      <c r="Q40" s="1624"/>
      <c r="R40" s="1624"/>
      <c r="S40" s="1619">
        <f t="shared" si="81"/>
        <v>0</v>
      </c>
      <c r="T40" s="1624"/>
      <c r="U40" s="1624"/>
      <c r="V40" s="197" t="str">
        <f>+Y$185</f>
        <v/>
      </c>
      <c r="W40" s="1625">
        <f>IF(U40=0,0,+VLOOKUP(V40,$I$204:$J$209,2))</f>
        <v>0</v>
      </c>
      <c r="X40" s="1508"/>
      <c r="Y40" s="1475">
        <f>IF(X40=0,0,+CS40)</f>
        <v>0</v>
      </c>
      <c r="Z40" s="1483">
        <f>IF(AND(R40=0,X40=0),0,+IF(AND(VALUE(RIGHT(P40,4))=2,R40&gt;0),0,IF(AND(VALUE(RIGHT(P40,4))=1,X40&gt;0),0,CM40)))</f>
        <v>0</v>
      </c>
      <c r="AA40" s="1473">
        <f>IF(X40=0,0,IF(EI40&gt;=EJ40,EI40,EJ40))</f>
        <v>0</v>
      </c>
      <c r="AB40" s="1123"/>
      <c r="AC40" s="203" t="str">
        <f t="shared" si="1"/>
        <v/>
      </c>
      <c r="AD40" s="203" t="str">
        <f t="shared" si="2"/>
        <v/>
      </c>
      <c r="AE40" s="1473">
        <f>IF(G40=+"",0,IF(AND(U40=0,X40=0),0,IF(X40=0,ROUND(DB40/(DJ40*$CP$4*W40),2),ROUND(DB40/DJ40,2))))</f>
        <v>0</v>
      </c>
      <c r="AF40" s="203" t="str">
        <f t="shared" si="3"/>
        <v/>
      </c>
      <c r="AG40" s="203" t="str">
        <f t="shared" si="4"/>
        <v/>
      </c>
      <c r="AH40" s="1473">
        <f>IF(G40=+"",0,IF(AND(U40=0,X40=0),0,IF(X40=0,ROUND(DE40/(DK40*$CP$4*W40),2),ROUND(DE40/DK40,2))))</f>
        <v>0</v>
      </c>
      <c r="AI40" s="820"/>
      <c r="AJ40" s="815"/>
      <c r="AK40" s="821"/>
      <c r="AL40" s="808"/>
      <c r="AM40" s="1633">
        <f>IF(AI40=0,0,ROUND(AI40*AJ40+AK40*AL40+AI41*AJ41+AK41*AL41,2))</f>
        <v>0</v>
      </c>
      <c r="AN40" s="1633">
        <f t="shared" ref="AN40" si="84">IF(AJ40=0,0,IF(CO40=1,CN40/($CP$4*W40),CN40))</f>
        <v>0</v>
      </c>
      <c r="AO40" s="1637" t="str">
        <f t="shared" ref="AO40" si="85">IF(AN40=0,"",IF(AN40&lt;=1,"OK!","NO!"))</f>
        <v/>
      </c>
      <c r="AP40" s="191">
        <f>+IF(I40=0,0,"1/")</f>
        <v>0</v>
      </c>
      <c r="AQ40" s="192">
        <f>IF(I40=0,0,+DN40)</f>
        <v>0</v>
      </c>
      <c r="AR40" s="23"/>
      <c r="AS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1313">
        <f>IF(AND(U40=0,X40=0),0,IF(U40&gt;0,Y$196/100*$CP$4*W40,ROUND(POWER(X40*Y40,2)/(K40/10*M40/10),2)))</f>
        <v>0</v>
      </c>
      <c r="CN40" s="1304" t="str">
        <f>IF($AJ40=0,"",IF($EC40&gt;=$EE40,$EC40+FN41,$EE40+FN41))</f>
        <v/>
      </c>
      <c r="CO40" s="552">
        <f>IF(P40=0,0,+VALUE(RIGHT(P40,4)))</f>
        <v>0</v>
      </c>
      <c r="CP40" s="91" t="e">
        <f>ROUNDUP(CX40*I40*100/2/DL40,2)</f>
        <v>#N/A</v>
      </c>
      <c r="CQ40" s="91" t="e">
        <f>ROUNDUP(CY40*I40*100/2/DM40,2)</f>
        <v>#N/A</v>
      </c>
      <c r="CR40" s="91" t="e">
        <f t="shared" si="62"/>
        <v>#N/A</v>
      </c>
      <c r="CS40" s="9">
        <f t="shared" ref="CS40" si="86">IF(M40=0,0,ROUNDUP(SQRT((AA40*K40/10*M40/10)/(X40*X40)),2))</f>
        <v>0</v>
      </c>
      <c r="CT40" s="94"/>
      <c r="CU40" s="95"/>
      <c r="CV40" s="87">
        <f>ROUNDUP(IF(VALUE(RIGHT($G$3,4))=1,$I$3*30*F42*100,$I$3*20*F42*100),0)</f>
        <v>0</v>
      </c>
      <c r="CW40" s="87"/>
      <c r="CX40" s="87" t="e">
        <f>ROUNDUP((準備!$F$60/100+準備!$C$48/100)*($G40+$H40)/2,2)</f>
        <v>#N/A</v>
      </c>
      <c r="CY40" s="87" t="e">
        <f>ROUNDUP((準備!$F$60/100+準備!$E$48/100)*($G40+$H40)/2,2)</f>
        <v>#N/A</v>
      </c>
      <c r="CZ40" s="87" t="e">
        <f>ROUNDUP(($CX40*POWER($I40*100,2)/8+FJ41)/$DF40,1)</f>
        <v>#N/A</v>
      </c>
      <c r="DA40" s="87" t="e">
        <f>ROUNDUP(5*$DW40*POWER($I40*100,4)/(384*VLOOKUP(VALUE(RIGHT($J40,4)),許容応力!$B$6:$K$22,10)*100*$DG40),2)+FN41</f>
        <v>#N/A</v>
      </c>
      <c r="DB40" s="87" t="e">
        <f>ROUND((CX40*I40*100/2)/Z40,1)</f>
        <v>#N/A</v>
      </c>
      <c r="DC40" s="87" t="e">
        <f>ROUNDUP(($CY40*POWER($I40*100,2)/8+FJ41)/$DF40,1)</f>
        <v>#N/A</v>
      </c>
      <c r="DD40" s="87" t="e">
        <f>ROUNDUP(5*$CY40*POWER($I40*100,4)/(384*VLOOKUP(VALUE(RIGHT($J40,4)),許容応力!$B$6:$K$22,10)*100*$DG40),2)+FQ41</f>
        <v>#N/A</v>
      </c>
      <c r="DE40" s="87" t="e">
        <f>ROUND((CY40*I40*100/2)/Z40,1)</f>
        <v>#N/A</v>
      </c>
      <c r="DF40" s="87">
        <f>ROUNDDOWN($K40/10*POWER($M40/10,2)/6*IF(OR($AB40=0,$AB40=1),1,$AB40),0)</f>
        <v>0</v>
      </c>
      <c r="DG40" s="87">
        <f>ROUNDDOWN($K40/10*POWER($M40/10,3)/12*IF(OR($AB40=0,$AB40=1),1,$AB40),0)</f>
        <v>0</v>
      </c>
      <c r="DH40" s="88" t="e">
        <f>VLOOKUP(DQ40,許容応力!$B$6:$K$22,7)*1.1/3*100</f>
        <v>#VALUE!</v>
      </c>
      <c r="DI40" s="87" t="e">
        <f>ROUND(VLOOKUP(DQ40,許容応力!$B$6:$K$22,7)*100*2/3*0.8,0)</f>
        <v>#VALUE!</v>
      </c>
      <c r="DJ40" s="10" t="e">
        <f>IF($DN$6=2,ROUND(VLOOKUP(DQ40,許容応力!$B$6:$K$22,8)*1.1/3*100,0),ROUND(VLOOKUP(DQ40,許容応力!$B$6:$K$22,8)*1.1/3*1.3*100,0))</f>
        <v>#VALUE!</v>
      </c>
      <c r="DK40" s="87" t="e">
        <f>ROUND(VLOOKUP(DQ40,許容応力!$B$6:$K$22,8)*100*2/3*0.8,0)</f>
        <v>#VALUE!</v>
      </c>
      <c r="DL40" s="10" t="e">
        <f>IF($DN$6=2,ROUND(VLOOKUP(DQ40,許容応力!$B$6:$K$22,9)*1.1/3*100,0),ROUND(VLOOKUP(DQ40,許容応力!$B$6:$K$22,9)*1.1/3*1.3*100,0))</f>
        <v>#VALUE!</v>
      </c>
      <c r="DM40" s="87" t="e">
        <f>ROUND(VLOOKUP(DQ40,許容応力!$B$6:$K$22,9)*100*2/3*0.8,0)</f>
        <v>#VALUE!</v>
      </c>
      <c r="DN40" s="63">
        <v>600</v>
      </c>
      <c r="DO40" s="87">
        <f>ROUND(I40*100/DN40,2)</f>
        <v>0</v>
      </c>
      <c r="DP40" s="87"/>
      <c r="DQ40" s="87" t="e">
        <f>+VALUE(RIGHT(J40,3))</f>
        <v>#VALUE!</v>
      </c>
      <c r="DR40" s="89" t="e">
        <f>ROUND(ATAN(D42/10)*180/PI(),4)</f>
        <v>#VALUE!</v>
      </c>
      <c r="DS40" s="90" t="e">
        <f t="shared" si="64"/>
        <v>#VALUE!</v>
      </c>
      <c r="DT40" s="87">
        <f>VLOOKUP(VALUE(RIGHT(C40,4)),$C$632:$F$641,4)</f>
        <v>225</v>
      </c>
      <c r="DU40" s="87">
        <f>ROUND(I40*100/DT40,2)</f>
        <v>0</v>
      </c>
      <c r="DV40" s="87"/>
      <c r="DW40" s="87" t="e">
        <f>ROUNDUP((準備!$F$60/100+準備!$E$48/100)*($G40+$H40)/2,2)</f>
        <v>#N/A</v>
      </c>
      <c r="DX40" s="87" t="e">
        <f>ROUNDUP((準備!$F$60/100+準備!$E$48/100)*($G40+$H40)/2,2)</f>
        <v>#N/A</v>
      </c>
      <c r="DY40" s="87"/>
      <c r="DZ40" s="87"/>
      <c r="EA40" s="87"/>
      <c r="EB40" s="87" t="e">
        <f>ROUND(CX40*I40*100/2/AM40,1)</f>
        <v>#N/A</v>
      </c>
      <c r="EC40" s="87" t="e">
        <f t="shared" si="65"/>
        <v>#N/A</v>
      </c>
      <c r="ED40" s="87" t="e">
        <f>ROUND(CY40*I40*100/2/AM40,1)</f>
        <v>#N/A</v>
      </c>
      <c r="EE40" s="87" t="e">
        <f t="shared" si="66"/>
        <v>#N/A</v>
      </c>
      <c r="EF40" s="87"/>
      <c r="EG40" s="87">
        <f>IF(F42=0,0,+VALUE(RIGHT(F42,4)))</f>
        <v>0</v>
      </c>
      <c r="EH40" s="3">
        <f>+IF(EG40=1,HLOOKUP(EG41,FB41:FG42,2),0)</f>
        <v>0</v>
      </c>
      <c r="EI40" s="87" t="str">
        <f>IF(M40=0,"",ROUND(CX40*I40*100/2/DJ40,2))</f>
        <v/>
      </c>
      <c r="EJ40" s="87" t="str">
        <f>IF(M40=0,"",ROUND(CY40*I40*100/2/DK40,2))</f>
        <v/>
      </c>
      <c r="EK40" s="87"/>
      <c r="EL40" s="63" t="e">
        <f>ROUNDUP(ER40/3,-1)*3</f>
        <v>#N/A</v>
      </c>
      <c r="EM40" s="63" t="e">
        <f>ROUNDUP(ES40/3,-1)*3</f>
        <v>#N/A</v>
      </c>
      <c r="EO40" s="63" t="e">
        <f>ROUNDUP(EU40/3,-1)*3</f>
        <v>#N/A</v>
      </c>
      <c r="EP40" s="63" t="e">
        <f>ROUNDUP(EV40/3,-1)*3</f>
        <v>#N/A</v>
      </c>
      <c r="EQ40" s="155" t="e">
        <f t="shared" si="67"/>
        <v>#N/A</v>
      </c>
      <c r="ER40" s="87" t="e">
        <f>ROUNDUP(SQRT(EW40/($K40/10)*6/IF(OR($AB40=0,$AB40=1),1,$AB40)),0)*10</f>
        <v>#N/A</v>
      </c>
      <c r="ES40" s="87" t="e">
        <f>POWER(ROUNDUP(EX40/($K40/10)*12/IF(OR($AB40=0,$AB40=1),1,$AB40),0),1/3)*10</f>
        <v>#N/A</v>
      </c>
      <c r="EU40" s="87" t="e">
        <f>ROUNDUP(SQRT(EZ40/($K40/10)*6/IF(OR($AB40=0,$AB40=1),1,$AB40))*10,0)</f>
        <v>#N/A</v>
      </c>
      <c r="EV40" s="87" t="e">
        <f>POWER(ROUNDUP(FA40/($K40/10)*12/IF(OR($AB40=0,$AB40=1),1,$AB40),0),1/3)*10</f>
        <v>#N/A</v>
      </c>
      <c r="EW40" s="87" t="e">
        <f>ROUNDUP(($CX40*POWER($I40*100,2)/8+FJ41)/$DH40,1)</f>
        <v>#N/A</v>
      </c>
      <c r="EX40" s="87" t="e">
        <f>ROUNDUP(5*$DW40*POWER($I40*100,4)/(384*VLOOKUP(VALUE(RIGHT($J40,4)),許容応力!$B$6:$K$22,10)*100*$DO40),2)+GB41</f>
        <v>#N/A</v>
      </c>
      <c r="EY40" s="87"/>
      <c r="EZ40" s="87" t="e">
        <f>ROUNDUP(($CY40*POWER($I40*100,2)/8+FJ41)/$DI40,1)</f>
        <v>#N/A</v>
      </c>
      <c r="FA40" s="87" t="e">
        <f>ROUNDUP(5*$CY40*POWER($I40*100,4)/(384*VLOOKUP(VALUE(RIGHT($J40,4)),許容応力!$B$6:$K$22,10)*100*$DU40),2)+GE41</f>
        <v>#N/A</v>
      </c>
      <c r="FB40" s="410" t="s">
        <v>1005</v>
      </c>
      <c r="FC40" s="3" t="s">
        <v>1007</v>
      </c>
      <c r="FD40" s="3" t="s">
        <v>1008</v>
      </c>
      <c r="FE40" s="3" t="s">
        <v>1009</v>
      </c>
      <c r="FF40" s="3" t="s">
        <v>1010</v>
      </c>
      <c r="FG40" s="410" t="s">
        <v>1006</v>
      </c>
      <c r="FH40" s="410" t="s">
        <v>1016</v>
      </c>
      <c r="FI40" s="3" t="s">
        <v>1249</v>
      </c>
      <c r="FK40" s="3" t="s">
        <v>189</v>
      </c>
      <c r="FL40" s="3" t="s">
        <v>1253</v>
      </c>
      <c r="FM40" s="412" t="s">
        <v>1013</v>
      </c>
      <c r="FN40" s="349" t="s">
        <v>1014</v>
      </c>
      <c r="FO40" s="412" t="s">
        <v>1015</v>
      </c>
      <c r="FP40" s="412" t="s">
        <v>1013</v>
      </c>
      <c r="FQ40" s="349" t="s">
        <v>1014</v>
      </c>
      <c r="FR40" s="412" t="s">
        <v>1015</v>
      </c>
      <c r="FS40" s="3" t="s">
        <v>1223</v>
      </c>
      <c r="FT40" s="3" t="s">
        <v>1224</v>
      </c>
      <c r="FU40" s="412" t="s">
        <v>1065</v>
      </c>
      <c r="FV40" s="349" t="s">
        <v>1066</v>
      </c>
      <c r="FW40" s="412" t="s">
        <v>1067</v>
      </c>
      <c r="FX40" s="412" t="s">
        <v>1065</v>
      </c>
      <c r="FY40" s="349" t="s">
        <v>1066</v>
      </c>
      <c r="FZ40" s="412" t="s">
        <v>1067</v>
      </c>
    </row>
    <row r="41" spans="2:187" ht="15.95" customHeight="1" x14ac:dyDescent="0.15">
      <c r="B41" s="1588"/>
      <c r="C41" s="1639"/>
      <c r="D41" s="831"/>
      <c r="E41" s="1578"/>
      <c r="F41" s="1578"/>
      <c r="G41" s="1564"/>
      <c r="H41" s="1564"/>
      <c r="I41" s="1564"/>
      <c r="J41" s="1566"/>
      <c r="K41" s="1567">
        <f>+IF(J40=0,0,"丸太末口 φ")</f>
        <v>0</v>
      </c>
      <c r="L41" s="1568"/>
      <c r="M41" s="832">
        <f>IF(J40=0,0,+EQ41)</f>
        <v>0</v>
      </c>
      <c r="N41" s="833" t="str">
        <f t="shared" si="0"/>
        <v/>
      </c>
      <c r="O41" s="1571"/>
      <c r="P41" s="1477"/>
      <c r="Q41" s="1489"/>
      <c r="R41" s="1489"/>
      <c r="S41" s="1582"/>
      <c r="T41" s="1489"/>
      <c r="U41" s="1489"/>
      <c r="V41" s="1022" t="str">
        <f>+Y184</f>
        <v/>
      </c>
      <c r="W41" s="1626"/>
      <c r="X41" s="1487"/>
      <c r="Y41" s="1469"/>
      <c r="Z41" s="1484"/>
      <c r="AA41" s="1467"/>
      <c r="AB41" s="1124"/>
      <c r="AC41" s="834" t="str">
        <f t="shared" si="1"/>
        <v/>
      </c>
      <c r="AD41" s="834" t="str">
        <f t="shared" si="2"/>
        <v/>
      </c>
      <c r="AE41" s="1467"/>
      <c r="AF41" s="834" t="str">
        <f t="shared" si="3"/>
        <v/>
      </c>
      <c r="AG41" s="834" t="str">
        <f t="shared" si="4"/>
        <v/>
      </c>
      <c r="AH41" s="1474"/>
      <c r="AI41" s="835"/>
      <c r="AJ41" s="836"/>
      <c r="AK41" s="837"/>
      <c r="AL41" s="838"/>
      <c r="AM41" s="1469"/>
      <c r="AN41" s="1632"/>
      <c r="AO41" s="1636"/>
      <c r="AP41" s="839">
        <f>+IF(I40=0,0,"1/")</f>
        <v>0</v>
      </c>
      <c r="AQ41" s="840">
        <f>IF(I40=0,0,+DN41)</f>
        <v>0</v>
      </c>
      <c r="AR41" s="23"/>
      <c r="AS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1312"/>
      <c r="CN41" s="1301"/>
      <c r="CO41" s="548"/>
      <c r="CP41" s="9" t="e">
        <f>ROUNDUP(CX41*I40*100/2/DL41,2)</f>
        <v>#N/A</v>
      </c>
      <c r="CQ41" s="9" t="e">
        <f>ROUNDUP(CY41*I40*100/2/DM41,2)</f>
        <v>#N/A</v>
      </c>
      <c r="CR41" s="9" t="e">
        <f t="shared" si="62"/>
        <v>#N/A</v>
      </c>
      <c r="CS41" s="9">
        <f t="shared" ref="CS41" si="87">IF(M41=0,0,ROUNDUP(SQRT(AA41*(M41/10-6)*(M41/10-3))/(X41*X41),2))</f>
        <v>0</v>
      </c>
      <c r="CT41" s="58"/>
      <c r="CU41" s="78"/>
      <c r="CV41" s="78">
        <f>ROUNDUP(IF(VALUE(RIGHT($G$3,4))=1,$I$3*30*F42*100,$I$3*20*F42*100),0)</f>
        <v>0</v>
      </c>
      <c r="CW41" s="78"/>
      <c r="CX41" s="78" t="e">
        <f>ROUNDUP((準備!$F$60/100+準備!$C$48/100)*($G40+$H40)/2,2)</f>
        <v>#N/A</v>
      </c>
      <c r="CY41" s="78" t="e">
        <f>ROUNDUP((準備!$F$60/100+準備!$E$48/100)*($G40+$H40)/2,2)</f>
        <v>#N/A</v>
      </c>
      <c r="CZ41" s="78">
        <f>IF(K41=0,0,ROUNDUP(($CX41*POWER($I40*100,2)/8+FJ41)/$DF41,1))</f>
        <v>0</v>
      </c>
      <c r="DA41" s="63" t="e">
        <f>ROUNDUP(5*$CY41*POWER($I40*100,4)/(384*VLOOKUP(VALUE(RIGHT($J40,4)),許容応力!$L$6:$U$22,10)*100*$DG41),2)+FQ41</f>
        <v>#N/A</v>
      </c>
      <c r="DB41" s="78" t="e">
        <f>ROUND((CX41*I40*100/2)/Z40,1)</f>
        <v>#N/A</v>
      </c>
      <c r="DC41" s="78" t="e">
        <f>ROUNDUP(($CY41*POWER($I40*100,2)/8+FJ41)/$DF41,1)</f>
        <v>#N/A</v>
      </c>
      <c r="DD41" s="63" t="e">
        <f>ROUNDUP(5*$CY41*POWER($I40*100,4)/(384*VLOOKUP(VALUE(RIGHT($J40,4)),許容応力!$L$6:$U$22,10)*100*$DG41),2)+FQ41</f>
        <v>#N/A</v>
      </c>
      <c r="DE41" s="78" t="e">
        <f>ROUND((CY41*I40*100/2)/Z40,1)</f>
        <v>#N/A</v>
      </c>
      <c r="DF41" s="63">
        <f>IF(M41&lt;180,ROUND((M41/10-3)*POWER(M41/10-3,2)/6*IF(AB41=0,1,AB41),0),ROUND((M41/10-5)*POWER(M41/10-3,2)/6*IF($AB41=0,1,$AB41),0))</f>
        <v>-5</v>
      </c>
      <c r="DG41" s="63">
        <f>ROUND(IF(M41&lt;180,(M41/10-3)*POWER((M41/10-3),3)/12*IF(AB41=0,1,AB41),(M41/10-4))*POWER((M41/10-3),3)/12*IF(AB41=0,1,AB41),0)</f>
        <v>-15</v>
      </c>
      <c r="DH41" s="10" t="e">
        <f>IF($DN$6=2,ROUND(VLOOKUP(DQ41,許容応力!$L$6:$U$22,7)*1.1/3*100,0),ROUND(VLOOKUP(DQ41,許容応力!$L$6:$U$22,7)*1.1/3*1.3*100,0))</f>
        <v>#VALUE!</v>
      </c>
      <c r="DI41" s="63" t="e">
        <f>ROUND(VLOOKUP(DQ41,許容応力!$L$6:$U$22,7)*100*2/3*0.8,0)</f>
        <v>#VALUE!</v>
      </c>
      <c r="DJ41" s="10" t="e">
        <f>IF($DN$6=2,ROUND(VLOOKUP(DQ41,許容応力!$L$6:$U$22,8)*1.1/3*100,0),ROUND(VLOOKUP(DQ41,許容応力!$L$6:$U$22,8)*1.1/3*1.3*100,0))</f>
        <v>#VALUE!</v>
      </c>
      <c r="DK41" s="63" t="e">
        <f>ROUND(VLOOKUP(DQ41,許容応力!$L$6:$U$22,8)*100*2/3*0.8,0)</f>
        <v>#VALUE!</v>
      </c>
      <c r="DL41" s="10" t="e">
        <f>IF($DN$6=2,ROUND(VLOOKUP(DQ41,許容応力!$L$6:$U$22,9)*1.1/3*100,0),ROUND(VLOOKUP(DQ41,許容応力!$L$6:$U$22,9)*1.1/3*1.3*100,0))</f>
        <v>#VALUE!</v>
      </c>
      <c r="DM41" s="63" t="e">
        <f>ROUND(VLOOKUP(DQ41,許容応力!$L$6:$U$22,9)*100*2/3*0.8,0)</f>
        <v>#VALUE!</v>
      </c>
      <c r="DN41" s="63">
        <v>600</v>
      </c>
      <c r="DO41" s="78">
        <f>ROUND(I40*100/DN41,2)</f>
        <v>0</v>
      </c>
      <c r="DP41" s="78"/>
      <c r="DQ41" s="78" t="e">
        <f>+VALUE(RIGHT(J40,3))</f>
        <v>#VALUE!</v>
      </c>
      <c r="DR41" s="92" t="e">
        <f>ROUND(ATAN(D42/10)*180/PI(),4)</f>
        <v>#VALUE!</v>
      </c>
      <c r="DS41" s="80" t="e">
        <f t="shared" si="64"/>
        <v>#VALUE!</v>
      </c>
      <c r="DT41" s="78">
        <f>VLOOKUP(VALUE(RIGHT(C40,4)),$C$632:$F$641,4)</f>
        <v>225</v>
      </c>
      <c r="DU41" s="78">
        <f>ROUND(I40*100/DT41,2)</f>
        <v>0</v>
      </c>
      <c r="DV41" s="78"/>
      <c r="DW41" s="78" t="e">
        <f>ROUNDUP((準備!$F$60/100+準備!$E$48/100)*($G40+$H40)/2,2)</f>
        <v>#N/A</v>
      </c>
      <c r="DX41" s="78" t="e">
        <f>ROUNDUP((準備!$F$60/100+準備!$E$48/100)*($G40+$H40)/2,2)</f>
        <v>#N/A</v>
      </c>
      <c r="DY41" s="71">
        <f>IF(I40&lt;6,POWER(M41/10,2)*I40/10000,POWER((M41/10+(ROUNDDOWN(I40,0)-4)/2),2)*I40/10000)</f>
        <v>0</v>
      </c>
      <c r="DZ41" s="78">
        <v>200</v>
      </c>
      <c r="EA41" s="93">
        <f>ROUND(DY41*DZ41/100,0)</f>
        <v>0</v>
      </c>
      <c r="EB41" s="78" t="e">
        <f>ROUND((CX41*I40*100/2+EA41)/AM41,1)</f>
        <v>#N/A</v>
      </c>
      <c r="EC41" s="78" t="e">
        <f t="shared" si="65"/>
        <v>#N/A</v>
      </c>
      <c r="ED41" s="78" t="e">
        <f>ROUND((CY41*I40*100/2+EA41)/AM41,1)</f>
        <v>#N/A</v>
      </c>
      <c r="EE41" s="78" t="e">
        <f t="shared" si="66"/>
        <v>#N/A</v>
      </c>
      <c r="EF41" s="78"/>
      <c r="EG41" s="78" t="e">
        <f>+VALUE(RIGHT(H42,4))</f>
        <v>#VALUE!</v>
      </c>
      <c r="EH41" s="78"/>
      <c r="EI41" s="78" t="str">
        <f>IF(M41=0,"",ROUND(CX41*I40*100/2/DJ41,2))</f>
        <v/>
      </c>
      <c r="EJ41" s="78" t="str">
        <f>IF(M41=0,"",ROUND(CY41*I40*100/2/DK41,2))</f>
        <v/>
      </c>
      <c r="EK41" s="78"/>
      <c r="EL41" s="63" t="e">
        <f>IF(AB41=0.8,VLOOKUP(ER41,$CR$395:$CS$439,2),IF(AB41=0.9,VLOOKUP(ER41,$CR$348:$CS$394,2),VLOOKUP(ER41,$CR$301:$CS$344,2)))</f>
        <v>#N/A</v>
      </c>
      <c r="EM41" s="63" t="e">
        <f>IF(AB41=0.8,VLOOKUP(ES41,$CT$395:$CU$439,2),IF(AB41=0.9,VLOOKUP(ES41,$CT$348:$CU$394,2),VLOOKUP(ES41,$CT$301:$CU$344,2)))</f>
        <v>#N/A</v>
      </c>
      <c r="EO41" s="63" t="e">
        <f>IF(AB41=0.8,VLOOKUP(EU41,$CR$395:$CS$439,2),IF(AB41=0.9,VLOOKUP(EU41,$CR$348:$CS$394,2),VLOOKUP(EU41,$CR$301:$CS$344,2)))</f>
        <v>#N/A</v>
      </c>
      <c r="EP41" s="63" t="e">
        <f>IF(AB41=0.8,VLOOKUP(EV41,$CT$395:$CU$439,2),IF(AB41=0.9,VLOOKUP(EV41,$CT$348:$CU$394,2),VLOOKUP(EV41,$CT$301:$CU$344,2)))</f>
        <v>#N/A</v>
      </c>
      <c r="EQ41" s="155" t="e">
        <f t="shared" si="67"/>
        <v>#N/A</v>
      </c>
      <c r="ER41" s="78" t="e">
        <f>ROUNDUP(($CX41*POWER($I40*100,2)/8+FJ41)/$DH41,1)</f>
        <v>#N/A</v>
      </c>
      <c r="ES41" s="78" t="e">
        <f>ROUNDUP(5*$DW41*POWER($I40*100,4)/(384*VLOOKUP(VALUE(RIGHT($J40,4)),許容応力!$B$6:$K$22,10)*100*$DO41),2)+GB41</f>
        <v>#N/A</v>
      </c>
      <c r="ET41" s="78"/>
      <c r="EU41" s="78" t="e">
        <f>ROUNDUP(($CY41*POWER($I40*100,2)/8+FJ41)/$DI41,1)</f>
        <v>#N/A</v>
      </c>
      <c r="EV41" s="78" t="e">
        <f>ROUNDUP(5*$CY41*POWER($I40*100,4)/(384*VLOOKUP(VALUE(RIGHT($J40,4)),許容応力!$B$6:$K$22,10)*100*$DU41),2)+GE41</f>
        <v>#N/A</v>
      </c>
      <c r="EW41" s="78"/>
      <c r="EX41" s="78"/>
      <c r="EY41" s="78"/>
      <c r="EZ41" s="78"/>
      <c r="FA41" s="78"/>
      <c r="FB41" s="3">
        <v>1</v>
      </c>
      <c r="FC41" s="3">
        <v>2</v>
      </c>
      <c r="FD41" s="3">
        <v>3</v>
      </c>
      <c r="FE41" s="3">
        <v>4</v>
      </c>
      <c r="FF41" s="3">
        <v>5</v>
      </c>
      <c r="FG41" s="3">
        <v>6</v>
      </c>
      <c r="FI41" s="3" t="s">
        <v>1019</v>
      </c>
      <c r="FJ41" s="63">
        <f>IF(F42=0,0,ROUND(EH40*POWER(I40*100,2)/8,2))</f>
        <v>0</v>
      </c>
      <c r="FK41" s="3">
        <f>IF(F42=0,0,ROUND(5*EH40*POWER(I40*100,4)/(384*FL41),2))</f>
        <v>0</v>
      </c>
      <c r="FL41" s="642">
        <f>IF(F42=0,0,+VLOOKUP(VALUE(RIGHT(J40,4)),許容応力!$B$6:$K$22,10)*100)</f>
        <v>0</v>
      </c>
      <c r="FM41" s="3">
        <f>IF(F42=0,0,ROUND((FJ41)/DF40,1))</f>
        <v>0</v>
      </c>
      <c r="FN41" s="3">
        <f>IF(F42=0,0,ROUND(FK41/DG40,2))</f>
        <v>0</v>
      </c>
      <c r="FO41" s="3">
        <f>IF(F42=0,0,ROUND(FJ42/Z40,1))</f>
        <v>0</v>
      </c>
      <c r="FP41" s="3">
        <f>+FM41</f>
        <v>0</v>
      </c>
      <c r="FQ41" s="3">
        <f>+FN41</f>
        <v>0</v>
      </c>
      <c r="FR41" s="3">
        <f>+FO41</f>
        <v>0</v>
      </c>
      <c r="FS41" s="3">
        <f>IF(F42=0,0,ROUND(VLOOKUP(VALUE(RIGHT(J40,4)),許容応力!$B$6:$K$22,9)*1.1/3*100,0))</f>
        <v>0</v>
      </c>
      <c r="FT41" s="3">
        <f>IF(F42=0,0,ROUND(VLOOKUP(VALUE(RIGHT($J40,4)),許容応力!$B$6:$K$22,9)*2/3*0.8*100,0))</f>
        <v>0</v>
      </c>
      <c r="FU41" s="3">
        <f>IF(F42=0,0,ROUND(FM41/CZ40,2))</f>
        <v>0</v>
      </c>
      <c r="FV41" s="3">
        <f>IF(F42=0,0,ROUND(FN41/DA40,2))</f>
        <v>0</v>
      </c>
      <c r="FW41" s="3">
        <f>IF(F42=0,0,ROUND(FO41/DB40,2))</f>
        <v>0</v>
      </c>
      <c r="FX41" s="3">
        <f>IF(F42=0,0,ROUND(FP41/DC40,2))</f>
        <v>0</v>
      </c>
      <c r="FY41" s="3">
        <f>IF(F42=0,0,ROUND(FQ41/DD40,2))</f>
        <v>0</v>
      </c>
      <c r="FZ41" s="3">
        <f>IF(F42=0,0,ROUND(FR41/DE40,2))</f>
        <v>0</v>
      </c>
      <c r="GA41" s="87">
        <f>IF(F42=0,0,ROUNDUP(EH40*POWER(I40*100,2)/8/DH40,1))</f>
        <v>0</v>
      </c>
      <c r="GB41" s="87">
        <f>IF(F42=0,0,ROUNDUP(5*EH40*POWER(I40*100,4)/(384*VLOOKUP(VALUE(RIGHT($J40,4)),許容応力!$B$6:$K$22,10)*100*$DO40),2))</f>
        <v>0</v>
      </c>
      <c r="GC41" s="87"/>
      <c r="GD41" s="87">
        <f>+GA41</f>
        <v>0</v>
      </c>
      <c r="GE41" s="87">
        <f>+GB41</f>
        <v>0</v>
      </c>
    </row>
    <row r="42" spans="2:187" ht="15.95" customHeight="1" thickBot="1" x14ac:dyDescent="0.2">
      <c r="B42" s="1588"/>
      <c r="C42" s="1258"/>
      <c r="D42" s="1580" t="s">
        <v>1248</v>
      </c>
      <c r="E42" s="1581"/>
      <c r="F42" s="1126"/>
      <c r="G42" s="280" t="s">
        <v>1250</v>
      </c>
      <c r="H42" s="1127"/>
      <c r="I42" s="841" t="s">
        <v>1252</v>
      </c>
      <c r="J42" s="1114"/>
      <c r="K42" s="842"/>
      <c r="L42" s="843"/>
      <c r="M42" s="841"/>
      <c r="N42" s="843"/>
      <c r="O42" s="875"/>
      <c r="P42" s="844"/>
      <c r="Q42" s="879"/>
      <c r="R42" s="879"/>
      <c r="S42" s="880"/>
      <c r="T42" s="879"/>
      <c r="U42" s="879"/>
      <c r="V42" s="845"/>
      <c r="W42" s="845"/>
      <c r="X42" s="846"/>
      <c r="Y42" s="847"/>
      <c r="Z42" s="874"/>
      <c r="AA42" s="845"/>
      <c r="AB42" s="1148"/>
      <c r="AC42" s="848"/>
      <c r="AD42" s="848"/>
      <c r="AE42" s="845"/>
      <c r="AF42" s="848"/>
      <c r="AG42" s="848"/>
      <c r="AH42" s="849"/>
      <c r="AI42" s="850"/>
      <c r="AJ42" s="851"/>
      <c r="AK42" s="852"/>
      <c r="AL42" s="853"/>
      <c r="AM42" s="847"/>
      <c r="AN42" s="847"/>
      <c r="AO42" s="854"/>
      <c r="AP42" s="184"/>
      <c r="AQ42" s="185"/>
      <c r="AR42" s="23"/>
      <c r="AS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830"/>
      <c r="CO42" s="548"/>
      <c r="CP42" s="9"/>
      <c r="CQ42" s="9"/>
      <c r="CR42" s="9"/>
      <c r="CS42" s="9"/>
      <c r="CT42" s="58"/>
      <c r="CU42" s="78"/>
      <c r="CV42" s="78"/>
      <c r="CW42" s="78"/>
      <c r="CX42" s="78"/>
      <c r="CY42" s="78"/>
      <c r="CZ42" s="78"/>
      <c r="DA42" s="63"/>
      <c r="DB42" s="78"/>
      <c r="DC42" s="78"/>
      <c r="DD42" s="63"/>
      <c r="DE42" s="78"/>
      <c r="DF42" s="63"/>
      <c r="DG42" s="63"/>
      <c r="DH42" s="10"/>
      <c r="DI42" s="63"/>
      <c r="DJ42" s="10"/>
      <c r="DK42" s="63"/>
      <c r="DL42" s="10"/>
      <c r="DM42" s="63"/>
      <c r="DN42" s="63"/>
      <c r="DO42" s="78"/>
      <c r="DP42" s="78"/>
      <c r="DQ42" s="78"/>
      <c r="DR42" s="92"/>
      <c r="DS42" s="80"/>
      <c r="DT42" s="78"/>
      <c r="DU42" s="78"/>
      <c r="DV42" s="78"/>
      <c r="DW42" s="78"/>
      <c r="DX42" s="78"/>
      <c r="DY42" s="71"/>
      <c r="DZ42" s="78"/>
      <c r="EA42" s="93"/>
      <c r="EB42" s="78"/>
      <c r="EC42" s="78"/>
      <c r="ED42" s="78"/>
      <c r="EE42" s="78"/>
      <c r="EF42" s="78"/>
      <c r="EG42" s="78"/>
      <c r="EH42" s="78"/>
      <c r="EI42" s="78"/>
      <c r="EJ42" s="78"/>
      <c r="EK42" s="78"/>
      <c r="EL42" s="63"/>
      <c r="EM42" s="63"/>
      <c r="EO42" s="63"/>
      <c r="EP42" s="63"/>
      <c r="EQ42" s="155"/>
      <c r="ER42" s="78"/>
      <c r="ES42" s="78"/>
      <c r="ET42" s="78"/>
      <c r="EU42" s="78"/>
      <c r="EV42" s="78"/>
      <c r="EW42" s="78"/>
      <c r="EX42" s="78"/>
      <c r="EY42" s="78"/>
      <c r="EZ42" s="78"/>
      <c r="FA42" s="78"/>
      <c r="FB42" s="128">
        <f>+準備!$G$20/100*J42</f>
        <v>0</v>
      </c>
      <c r="FC42" s="128">
        <f>+準備!$G$24/100*J42</f>
        <v>0</v>
      </c>
      <c r="FD42" s="128">
        <f>+準備!$G$28/100*J42</f>
        <v>0</v>
      </c>
      <c r="FE42" s="128">
        <f>+準備!$G$32/100*J42</f>
        <v>0</v>
      </c>
      <c r="FF42" s="128">
        <f>+準備!$G$36/100*J42</f>
        <v>0</v>
      </c>
      <c r="FG42" s="128">
        <f>+準備!$G$38/100*J42</f>
        <v>0</v>
      </c>
      <c r="FI42" s="3" t="s">
        <v>1018</v>
      </c>
      <c r="FJ42" s="63">
        <f>IF(F42=0,0,ROUND(EH40*I40*100/2,2))</f>
        <v>0</v>
      </c>
      <c r="FK42" s="63"/>
      <c r="FM42" s="3">
        <f t="shared" ref="FM42:FR42" si="88">+FM41</f>
        <v>0</v>
      </c>
      <c r="FN42" s="3">
        <f t="shared" si="88"/>
        <v>0</v>
      </c>
      <c r="FO42" s="3">
        <f t="shared" si="88"/>
        <v>0</v>
      </c>
      <c r="FP42" s="3">
        <f t="shared" si="88"/>
        <v>0</v>
      </c>
      <c r="FQ42" s="3">
        <f t="shared" si="88"/>
        <v>0</v>
      </c>
      <c r="FR42" s="3">
        <f t="shared" si="88"/>
        <v>0</v>
      </c>
      <c r="FS42" s="3">
        <f>IF(F42=0,0,ROUND(EH40*I40*100/2/FS41/AM40,2))</f>
        <v>0</v>
      </c>
      <c r="FT42" s="3">
        <f>IF(F42=0,0,ROUND(EH40*I40*100/2/FT41/AM40,2))</f>
        <v>0</v>
      </c>
      <c r="FU42" s="3">
        <f t="shared" ref="FU42:FZ42" si="89">+FU41</f>
        <v>0</v>
      </c>
      <c r="FV42" s="3">
        <f t="shared" si="89"/>
        <v>0</v>
      </c>
      <c r="FW42" s="3">
        <f t="shared" si="89"/>
        <v>0</v>
      </c>
      <c r="FX42" s="3">
        <f t="shared" si="89"/>
        <v>0</v>
      </c>
      <c r="FY42" s="3">
        <f t="shared" si="89"/>
        <v>0</v>
      </c>
      <c r="FZ42" s="3">
        <f t="shared" si="89"/>
        <v>0</v>
      </c>
    </row>
    <row r="43" spans="2:187" ht="15.95" customHeight="1" x14ac:dyDescent="0.15">
      <c r="B43" s="1588"/>
      <c r="C43" s="1640" t="s">
        <v>818</v>
      </c>
      <c r="D43" s="331"/>
      <c r="E43" s="1576"/>
      <c r="F43" s="1577"/>
      <c r="G43" s="1563"/>
      <c r="H43" s="1563"/>
      <c r="I43" s="1563"/>
      <c r="J43" s="1565"/>
      <c r="K43" s="1117"/>
      <c r="L43" s="196">
        <f>+IF(K43=0,0,"×")</f>
        <v>0</v>
      </c>
      <c r="M43" s="241">
        <f>IF(K43=0,0,+EQ43)</f>
        <v>0</v>
      </c>
      <c r="N43" s="242" t="str">
        <f t="shared" ref="N43:N44" si="90">IF(AC43=+"","",IF(AND(AC43&lt;=1,AD43&lt;=1,AF43&lt;=1,AG43&lt;=1),"OK!","NO!"))</f>
        <v/>
      </c>
      <c r="O43" s="1520">
        <f>IF(Z43=0,0,IF(AND(U43=0,X43=0),0,IF(IF(AE43&gt;=AH43,AE43,AH43)&lt;=1,"OK!","NO!")))</f>
        <v>0</v>
      </c>
      <c r="P43" s="1476"/>
      <c r="Q43" s="1488"/>
      <c r="R43" s="1488"/>
      <c r="S43" s="1616">
        <f t="shared" ref="S43" si="91">+IF(R43=0,0,6)</f>
        <v>0</v>
      </c>
      <c r="T43" s="1488"/>
      <c r="U43" s="1488"/>
      <c r="V43" s="196" t="str">
        <f>+Z$185</f>
        <v/>
      </c>
      <c r="W43" s="1577">
        <f>IF(U43=0,0,+VLOOKUP(V43,$I$204:$J$209,2))</f>
        <v>0</v>
      </c>
      <c r="X43" s="1486"/>
      <c r="Y43" s="1468">
        <f>IF(X43=0,0,+CS43)</f>
        <v>0</v>
      </c>
      <c r="Z43" s="1313">
        <f>IF(AND(R43=0,X43=0),0,+IF(AND(VALUE(RIGHT(P43,4))=2,R43&gt;0),0,IF(AND(VALUE(RIGHT(P43,4))=1,X43&gt;0),0,CM43)))</f>
        <v>0</v>
      </c>
      <c r="AA43" s="1466">
        <f>IF(X43=0,0,IF(EI43&gt;=EJ43,EI43,EJ43))</f>
        <v>0</v>
      </c>
      <c r="AB43" s="1121"/>
      <c r="AC43" s="201" t="str">
        <f t="shared" ref="AC43:AC44" si="92">IF(M43=0,"",ROUNDUP(CZ43/DH43,2))</f>
        <v/>
      </c>
      <c r="AD43" s="201" t="str">
        <f t="shared" ref="AD43:AD44" si="93">IF(M43=0,"",ROUND(DA43/DO43,2))</f>
        <v/>
      </c>
      <c r="AE43" s="1466">
        <f>IF(G43=+"",0,IF(AND(U43=0,X43=0),0,IF(X43=0,ROUND(DB43/(DJ43*$CP$4*W43),2),ROUND(DB43/DJ43,2))))</f>
        <v>0</v>
      </c>
      <c r="AF43" s="201" t="str">
        <f t="shared" ref="AF43:AF44" si="94">IF(M43=0,"",ROUNDUP(DC43/DI43,2))</f>
        <v/>
      </c>
      <c r="AG43" s="201" t="str">
        <f t="shared" ref="AG43:AG44" si="95">IF(M43=0,"",ROUNDUP(DD43/DU43,2))</f>
        <v/>
      </c>
      <c r="AH43" s="1466">
        <f>IF(G43=+"",0,IF(AND(U43=0,X43=0),0,IF(X43=0,ROUND(DE43/(DK43*$CP$4*W43),2),ROUND(DE43/DK43,2))))</f>
        <v>0</v>
      </c>
      <c r="AI43" s="818"/>
      <c r="AJ43" s="811"/>
      <c r="AK43" s="823"/>
      <c r="AL43" s="812"/>
      <c r="AM43" s="1631">
        <f>IF(AI43=0,0,ROUND(AI43*AJ43+AK43*AL43+AI44*AJ44+AK44*AL44,2))</f>
        <v>0</v>
      </c>
      <c r="AN43" s="1631">
        <f t="shared" ref="AN43" si="96">IF(AJ43=0,0,IF(CO43=1,CN43/($CP$4*W43),CN43))</f>
        <v>0</v>
      </c>
      <c r="AO43" s="1635" t="str">
        <f t="shared" ref="AO43" si="97">IF(AN43=0,"",IF(AN43&lt;=1,"OK!","NO!"))</f>
        <v/>
      </c>
      <c r="AP43" s="186">
        <f>+IF(I43=0,0,"1/")</f>
        <v>0</v>
      </c>
      <c r="AQ43" s="187">
        <f>IF(I43=0,0,+DN43)</f>
        <v>0</v>
      </c>
      <c r="AR43" s="23"/>
      <c r="AS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1313">
        <f>IF(AND(U43=0,X43=0),0,IF(U43&gt;0,Z$196/100*$CP$4*W43,ROUND(POWER(X43*Y43,2)/(K43/10*M43/10),2)))</f>
        <v>0</v>
      </c>
      <c r="CN43" s="1304" t="str">
        <f>IF($AJ43=0,"",IF($EC43&gt;=$EE43,$EC43+FN44,$EE43+FN44))</f>
        <v/>
      </c>
      <c r="CO43" s="552">
        <f>IF(P43=0,0,+VALUE(RIGHT(P43,4)))</f>
        <v>0</v>
      </c>
      <c r="CP43" s="91" t="e">
        <f>ROUNDUP(CX43*I43*100/2/DL43,2)</f>
        <v>#N/A</v>
      </c>
      <c r="CQ43" s="91" t="e">
        <f>ROUNDUP(CY43*I43*100/2/DM43,2)</f>
        <v>#N/A</v>
      </c>
      <c r="CR43" s="91" t="e">
        <f t="shared" ref="CR43:CR44" si="98">IF(CP43&gt;=CQ43,CP43,CQ43)</f>
        <v>#N/A</v>
      </c>
      <c r="CS43" s="9">
        <f>IF(M43=0,0,IF(F45=0,ROUNDUP(SQRT((AA43*K43/10*M43/10)/(X43*X43)),2),0))</f>
        <v>0</v>
      </c>
      <c r="CT43" s="94"/>
      <c r="CU43" s="95"/>
      <c r="CV43" s="87">
        <f>ROUNDUP(IF(VALUE(RIGHT($G$3,4))=1,$I$3*30*F45*100,$I$3*20*F45*100),0)</f>
        <v>0</v>
      </c>
      <c r="CW43" s="87"/>
      <c r="CX43" s="87" t="e">
        <f>ROUNDUP((準備!$F$60/100+準備!$C$48/100)*($G43+$H43)/2,2)</f>
        <v>#N/A</v>
      </c>
      <c r="CY43" s="87" t="e">
        <f>ROUNDUP((準備!$F$60/100+準備!$E$48/100)*($G43+$H43)/2,2)</f>
        <v>#N/A</v>
      </c>
      <c r="CZ43" s="87" t="e">
        <f>IF(F45=0,ROUNDUP(CX43*POWER(I43*100,2)/8/DF43,1),ROUNDUP(($CX43*POWER($I43*100,2)/8+FJ44)/$DF43,1))</f>
        <v>#N/A</v>
      </c>
      <c r="DA43" s="87" t="e">
        <f>IF(F45=0,ROUNDUP(5*$DW43*POWER($I43*100,4)/(384*VLOOKUP(VALUE(RIGHT($J43,4)),許容応力!$B$6:$K$22,10)*100*$DG43),2)+FN44,0)</f>
        <v>#N/A</v>
      </c>
      <c r="DB43" s="87" t="e">
        <f>ROUND((CX43*I43*100/2)/Z43,1)</f>
        <v>#N/A</v>
      </c>
      <c r="DC43" s="87" t="e">
        <f>ROUNDUP(($CY43*POWER($I43*100,2)/8+FJ44)/$DF43,1)</f>
        <v>#N/A</v>
      </c>
      <c r="DD43" s="87" t="e">
        <f>ROUNDUP(5*$CY43*POWER($I43*100,4)/(384*VLOOKUP(VALUE(RIGHT($J43,4)),許容応力!$B$6:$K$22,10)*100*$DG43),2)+FQ44</f>
        <v>#N/A</v>
      </c>
      <c r="DE43" s="87" t="e">
        <f>ROUND((CY43*I43*100/2)/Z43,1)</f>
        <v>#N/A</v>
      </c>
      <c r="DF43" s="87">
        <f>IF(F45=0,ROUNDDOWN($K43/10*POWER($M43/10,2)/6*IF(OR($AB43=0,$AB43=1),1,$AB43),0),0)</f>
        <v>0</v>
      </c>
      <c r="DG43" s="87">
        <f>ROUNDDOWN($K43/10*POWER($M43/10,3)/12*IF(OR($AB43=0,$AB43=1),1,$AB43),0)</f>
        <v>0</v>
      </c>
      <c r="DH43" s="88" t="e">
        <f>VLOOKUP(DQ43,許容応力!$B$6:$K$22,7)*1.1/3*100</f>
        <v>#VALUE!</v>
      </c>
      <c r="DI43" s="87" t="e">
        <f>ROUND(VLOOKUP(DQ43,許容応力!$B$6:$K$22,7)*100*2/3*0.8,0)</f>
        <v>#VALUE!</v>
      </c>
      <c r="DJ43" s="10" t="e">
        <f>IF($DN$6=2,ROUND(VLOOKUP(DQ43,許容応力!$B$6:$K$22,8)*1.1/3*100,0),ROUND(VLOOKUP(DQ43,許容応力!$B$6:$K$22,8)*1.1/3*1.3*100,0))</f>
        <v>#VALUE!</v>
      </c>
      <c r="DK43" s="87" t="e">
        <f>ROUND(VLOOKUP(DQ43,許容応力!$B$6:$K$22,8)*100*2/3*0.8,0)</f>
        <v>#VALUE!</v>
      </c>
      <c r="DL43" s="10" t="e">
        <f>IF($DN$6=2,ROUND(VLOOKUP(DQ43,許容応力!$B$6:$K$22,9)*1.1/3*100,0),ROUND(VLOOKUP(DQ43,許容応力!$B$6:$K$22,9)*1.1/3*1.3*100,0))</f>
        <v>#VALUE!</v>
      </c>
      <c r="DM43" s="87" t="e">
        <f>ROUND(VLOOKUP(DQ43,許容応力!$B$6:$K$22,9)*100*2/3*0.8,0)</f>
        <v>#VALUE!</v>
      </c>
      <c r="DN43" s="63">
        <v>600</v>
      </c>
      <c r="DO43" s="87">
        <f>ROUND(I43*100/DN43,2)</f>
        <v>0</v>
      </c>
      <c r="DP43" s="87"/>
      <c r="DQ43" s="87" t="e">
        <f>+VALUE(RIGHT(J43,3))</f>
        <v>#VALUE!</v>
      </c>
      <c r="DR43" s="89" t="e">
        <f>ROUND(ATAN(D45/10)*180/PI(),4)</f>
        <v>#VALUE!</v>
      </c>
      <c r="DS43" s="90" t="e">
        <f t="shared" ref="DS43:DS44" si="99">ROUND(COS(DR43*PI()/180),3)</f>
        <v>#VALUE!</v>
      </c>
      <c r="DT43" s="87">
        <f>VLOOKUP(VALUE(RIGHT(C43,4)),$C$632:$F$641,4)</f>
        <v>225</v>
      </c>
      <c r="DU43" s="87">
        <f>ROUND(I43*100/DT43,2)</f>
        <v>0</v>
      </c>
      <c r="DV43" s="87"/>
      <c r="DW43" s="87" t="e">
        <f>ROUNDUP((準備!$F$60/100+準備!$E$48/100)*($G43+$H43)/2,2)</f>
        <v>#N/A</v>
      </c>
      <c r="DX43" s="87" t="e">
        <f>ROUNDUP((準備!$F$60/100+準備!$E$48/100)*($G43+$H43)/2,2)</f>
        <v>#N/A</v>
      </c>
      <c r="DY43" s="87"/>
      <c r="DZ43" s="87"/>
      <c r="EA43" s="87"/>
      <c r="EB43" s="87" t="e">
        <f>ROUND(CX43*I43*100/2/AM43,1)</f>
        <v>#N/A</v>
      </c>
      <c r="EC43" s="87" t="e">
        <f t="shared" ref="EC43:EC44" si="100">ROUND(EB43/DL43,2)</f>
        <v>#N/A</v>
      </c>
      <c r="ED43" s="87" t="e">
        <f>ROUND(CY43*I43*100/2/AM43,1)</f>
        <v>#N/A</v>
      </c>
      <c r="EE43" s="87" t="e">
        <f t="shared" ref="EE43:EE44" si="101">ROUND(ED43/DM43,2)</f>
        <v>#N/A</v>
      </c>
      <c r="EF43" s="87"/>
      <c r="EG43" s="87">
        <f>IF(F45=0,0,+VALUE(RIGHT(F45,4)))</f>
        <v>0</v>
      </c>
      <c r="EH43" s="3">
        <f>+IF(EG43=1,HLOOKUP(EG44,FB44:FG45,2),0)</f>
        <v>0</v>
      </c>
      <c r="EI43" s="87" t="str">
        <f>IF(M43=0,"",ROUND(CX43*I43*100/2/DJ43,2))</f>
        <v/>
      </c>
      <c r="EJ43" s="87" t="str">
        <f>IF(M43=0,"",ROUND(CY43*I43*100/2/DK43,2))</f>
        <v/>
      </c>
      <c r="EK43" s="87"/>
      <c r="EL43" s="63" t="e">
        <f>ROUNDUP(ER43/3,-1)*3</f>
        <v>#N/A</v>
      </c>
      <c r="EM43" s="63" t="e">
        <f>ROUNDUP(ES43/3,-1)*3</f>
        <v>#N/A</v>
      </c>
      <c r="EO43" s="63" t="e">
        <f>ROUNDUP(EU43/3,-1)*3</f>
        <v>#N/A</v>
      </c>
      <c r="EP43" s="63" t="e">
        <f>ROUNDUP(EV43/3,-1)*3</f>
        <v>#N/A</v>
      </c>
      <c r="EQ43" s="155" t="e">
        <f t="shared" ref="EQ43:EQ44" si="102">+MAX(EL43:EP43)</f>
        <v>#N/A</v>
      </c>
      <c r="ER43" s="87" t="e">
        <f>ROUNDUP(SQRT(EW43/($K43/10)*6/IF(OR($AB43=0,$AB43=1),1,$AB43)),0)*10</f>
        <v>#N/A</v>
      </c>
      <c r="ES43" s="87" t="e">
        <f>POWER(ROUNDUP(EX43/($K43/10)*12/IF(OR($AB43=0,$AB43=1),1,$AB43),0),1/3)*10</f>
        <v>#N/A</v>
      </c>
      <c r="EU43" s="87" t="e">
        <f>ROUNDUP(SQRT(EZ43/($K43/10)*6/IF(OR($AB43=0,$AB43=1),1,$AB43))*10,0)</f>
        <v>#N/A</v>
      </c>
      <c r="EV43" s="87" t="e">
        <f>POWER(ROUNDUP(FA43/($K43/10)*12/IF(OR($AB43=0,$AB43=1),1,$AB43),0),1/3)*10</f>
        <v>#N/A</v>
      </c>
      <c r="EW43" s="87" t="e">
        <f>ROUNDUP(($CX43*POWER($I43*100,2)/8+FJ44)/$DH43,1)</f>
        <v>#N/A</v>
      </c>
      <c r="EX43" s="87" t="e">
        <f>ROUNDUP(5*$DW43*POWER($I43*100,4)/(384*VLOOKUP(VALUE(RIGHT($J43,4)),許容応力!$B$6:$K$22,10)*100*$DO43),2)+GB44</f>
        <v>#N/A</v>
      </c>
      <c r="EY43" s="87"/>
      <c r="EZ43" s="87" t="e">
        <f>ROUNDUP(($CY43*POWER($I43*100,2)/8+FJ44)/$DI43,1)</f>
        <v>#N/A</v>
      </c>
      <c r="FA43" s="87" t="e">
        <f>ROUNDUP(5*$CY43*POWER($I43*100,4)/(384*VLOOKUP(VALUE(RIGHT($J43,4)),許容応力!$B$6:$K$22,10)*100*$DU43),2)+GE44</f>
        <v>#N/A</v>
      </c>
      <c r="FB43" s="410" t="s">
        <v>1005</v>
      </c>
      <c r="FC43" s="3" t="s">
        <v>1007</v>
      </c>
      <c r="FD43" s="3" t="s">
        <v>1008</v>
      </c>
      <c r="FE43" s="3" t="s">
        <v>1009</v>
      </c>
      <c r="FF43" s="3" t="s">
        <v>1010</v>
      </c>
      <c r="FG43" s="410" t="s">
        <v>1006</v>
      </c>
      <c r="FH43" s="410" t="s">
        <v>1016</v>
      </c>
      <c r="FI43" s="3" t="s">
        <v>1249</v>
      </c>
      <c r="FK43" s="3" t="s">
        <v>189</v>
      </c>
      <c r="FL43" s="3" t="s">
        <v>1253</v>
      </c>
      <c r="FM43" s="412" t="s">
        <v>1013</v>
      </c>
      <c r="FN43" s="349" t="s">
        <v>1014</v>
      </c>
      <c r="FO43" s="412" t="s">
        <v>1015</v>
      </c>
      <c r="FP43" s="412" t="s">
        <v>1013</v>
      </c>
      <c r="FQ43" s="349" t="s">
        <v>1014</v>
      </c>
      <c r="FR43" s="412" t="s">
        <v>1015</v>
      </c>
      <c r="FS43" s="3" t="s">
        <v>1223</v>
      </c>
      <c r="FT43" s="3" t="s">
        <v>1224</v>
      </c>
      <c r="FU43" s="412" t="s">
        <v>1065</v>
      </c>
      <c r="FV43" s="349" t="s">
        <v>1066</v>
      </c>
      <c r="FW43" s="412" t="s">
        <v>1067</v>
      </c>
      <c r="FX43" s="412" t="s">
        <v>1065</v>
      </c>
      <c r="FY43" s="349" t="s">
        <v>1066</v>
      </c>
      <c r="FZ43" s="412" t="s">
        <v>1067</v>
      </c>
    </row>
    <row r="44" spans="2:187" ht="15.95" customHeight="1" x14ac:dyDescent="0.15">
      <c r="B44" s="1588"/>
      <c r="C44" s="1639"/>
      <c r="D44" s="831"/>
      <c r="E44" s="1578"/>
      <c r="F44" s="1578"/>
      <c r="G44" s="1564"/>
      <c r="H44" s="1564"/>
      <c r="I44" s="1564"/>
      <c r="J44" s="1566"/>
      <c r="K44" s="1567">
        <f>+IF(J43=0,0,"丸太末口 φ")</f>
        <v>0</v>
      </c>
      <c r="L44" s="1568"/>
      <c r="M44" s="832">
        <f>IF(J43=0,0,+EQ44)</f>
        <v>0</v>
      </c>
      <c r="N44" s="833" t="str">
        <f t="shared" si="90"/>
        <v/>
      </c>
      <c r="O44" s="1571"/>
      <c r="P44" s="1477"/>
      <c r="Q44" s="1489"/>
      <c r="R44" s="1489"/>
      <c r="S44" s="1576"/>
      <c r="T44" s="1489"/>
      <c r="U44" s="1489"/>
      <c r="V44" s="1022" t="str">
        <f>+Z$184</f>
        <v/>
      </c>
      <c r="W44" s="1578"/>
      <c r="X44" s="1487"/>
      <c r="Y44" s="1469"/>
      <c r="Z44" s="1485"/>
      <c r="AA44" s="1467"/>
      <c r="AB44" s="1124"/>
      <c r="AC44" s="834" t="str">
        <f t="shared" si="92"/>
        <v/>
      </c>
      <c r="AD44" s="834" t="str">
        <f t="shared" si="93"/>
        <v/>
      </c>
      <c r="AE44" s="1467"/>
      <c r="AF44" s="834" t="str">
        <f t="shared" si="94"/>
        <v/>
      </c>
      <c r="AG44" s="834" t="str">
        <f t="shared" si="95"/>
        <v/>
      </c>
      <c r="AH44" s="1474"/>
      <c r="AI44" s="835"/>
      <c r="AJ44" s="836"/>
      <c r="AK44" s="837"/>
      <c r="AL44" s="838"/>
      <c r="AM44" s="1469"/>
      <c r="AN44" s="1632"/>
      <c r="AO44" s="1636"/>
      <c r="AP44" s="839">
        <f>+IF(I43=0,0,"1/")</f>
        <v>0</v>
      </c>
      <c r="AQ44" s="840">
        <f>IF(I43=0,0,+DN44)</f>
        <v>0</v>
      </c>
      <c r="AR44" s="23"/>
      <c r="AS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1312"/>
      <c r="CN44" s="1301"/>
      <c r="CO44" s="548"/>
      <c r="CP44" s="9" t="e">
        <f>ROUNDUP(CX44*I43*100/2/DL44,2)</f>
        <v>#N/A</v>
      </c>
      <c r="CQ44" s="9" t="e">
        <f>ROUNDUP(CY44*I43*100/2/DM44,2)</f>
        <v>#N/A</v>
      </c>
      <c r="CR44" s="9" t="e">
        <f t="shared" si="98"/>
        <v>#N/A</v>
      </c>
      <c r="CS44" s="9">
        <f t="shared" ref="CS44" si="103">IF(M44=0,0,ROUNDUP(SQRT(AA44*(M44/10-6)*(M44/10-3))/(X44*X44),2))</f>
        <v>0</v>
      </c>
      <c r="CT44" s="58"/>
      <c r="CU44" s="78"/>
      <c r="CV44" s="78">
        <f>ROUNDUP(IF(VALUE(RIGHT($G$3,4))=1,$I$3*30*F45*100,$I$3*20*F45*100),0)</f>
        <v>0</v>
      </c>
      <c r="CW44" s="78"/>
      <c r="CX44" s="78" t="e">
        <f>ROUNDUP((準備!$F$60/100+準備!$C$48/100)*($G43+$H43)/2,2)</f>
        <v>#N/A</v>
      </c>
      <c r="CY44" s="78" t="e">
        <f>ROUNDUP((準備!$F$60/100+準備!$E$48/100)*($G43+$H43)/2,2)</f>
        <v>#N/A</v>
      </c>
      <c r="CZ44" s="78">
        <f>IF(K44=0,0,ROUNDUP(($CX44*POWER($I43*100,2)/8+FJ44)/$DF44,1))</f>
        <v>0</v>
      </c>
      <c r="DA44" s="63" t="e">
        <f>ROUNDUP(5*$CY44*POWER($I43*100,4)/(384*VLOOKUP(VALUE(RIGHT($J43,4)),許容応力!$L$6:$U$22,10)*100*$DG44),2)+FQ44</f>
        <v>#N/A</v>
      </c>
      <c r="DB44" s="78" t="e">
        <f>ROUND((CX44*I43*100/2)/Z43,1)</f>
        <v>#N/A</v>
      </c>
      <c r="DC44" s="78" t="e">
        <f>ROUNDUP(($CY44*POWER($I43*100,2)/8+FJ44)/$DF44,1)</f>
        <v>#N/A</v>
      </c>
      <c r="DD44" s="63" t="e">
        <f>ROUNDUP(5*$CY44*POWER($I43*100,4)/(384*VLOOKUP(VALUE(RIGHT($J43,4)),許容応力!$L$6:$U$22,10)*100*$DG44),2)+FQ44</f>
        <v>#N/A</v>
      </c>
      <c r="DE44" s="78" t="e">
        <f>ROUND((CY44*I43*100/2)/Z43,1)</f>
        <v>#N/A</v>
      </c>
      <c r="DF44" s="63">
        <f>IF(M44&lt;180,ROUND((M44/10-3)*POWER(M44/10-3,2)/6*IF(AB44=0,1,AB44),0),ROUND((M44/10-5)*POWER(M44/10-3,2)/6*IF($AB44=0,1,$AB44),0))</f>
        <v>-5</v>
      </c>
      <c r="DG44" s="63">
        <f>ROUND(IF(M44&lt;180,(M44/10-3)*POWER((M44/10-3),3)/12*IF(AB44=0,1,AB44),(M44/10-4))*POWER((M44/10-3),3)/12*IF(AB44=0,1,AB44),0)</f>
        <v>-15</v>
      </c>
      <c r="DH44" s="10" t="e">
        <f>IF($DN$6=2,ROUND(VLOOKUP(DQ44,許容応力!$L$6:$U$22,7)*1.1/3*100,0),ROUND(VLOOKUP(DQ44,許容応力!$L$6:$U$22,7)*1.1/3*1.3*100,0))</f>
        <v>#VALUE!</v>
      </c>
      <c r="DI44" s="63" t="e">
        <f>ROUND(VLOOKUP(DQ44,許容応力!$L$6:$U$22,7)*100*2/3*0.8,0)</f>
        <v>#VALUE!</v>
      </c>
      <c r="DJ44" s="10" t="e">
        <f>IF($DN$6=2,ROUND(VLOOKUP(DQ44,許容応力!$L$6:$U$22,8)*1.1/3*100,0),ROUND(VLOOKUP(DQ44,許容応力!$L$6:$U$22,8)*1.1/3*1.3*100,0))</f>
        <v>#VALUE!</v>
      </c>
      <c r="DK44" s="63" t="e">
        <f>ROUND(VLOOKUP(DQ44,許容応力!$L$6:$U$22,8)*100*2/3*0.8,0)</f>
        <v>#VALUE!</v>
      </c>
      <c r="DL44" s="10" t="e">
        <f>IF($DN$6=2,ROUND(VLOOKUP(DQ44,許容応力!$L$6:$U$22,9)*1.1/3*100,0),ROUND(VLOOKUP(DQ44,許容応力!$L$6:$U$22,9)*1.1/3*1.3*100,0))</f>
        <v>#VALUE!</v>
      </c>
      <c r="DM44" s="63" t="e">
        <f>ROUND(VLOOKUP(DQ44,許容応力!$L$6:$U$22,9)*100*2/3*0.8,0)</f>
        <v>#VALUE!</v>
      </c>
      <c r="DN44" s="63">
        <v>600</v>
      </c>
      <c r="DO44" s="78">
        <f>ROUND(I43*100/DN44,2)</f>
        <v>0</v>
      </c>
      <c r="DP44" s="78"/>
      <c r="DQ44" s="78" t="e">
        <f>+VALUE(RIGHT(J43,3))</f>
        <v>#VALUE!</v>
      </c>
      <c r="DR44" s="92" t="e">
        <f>ROUND(ATAN(D45/10)*180/PI(),4)</f>
        <v>#VALUE!</v>
      </c>
      <c r="DS44" s="80" t="e">
        <f t="shared" si="99"/>
        <v>#VALUE!</v>
      </c>
      <c r="DT44" s="78">
        <f>VLOOKUP(VALUE(RIGHT(C43,4)),$C$632:$F$641,4)</f>
        <v>225</v>
      </c>
      <c r="DU44" s="78">
        <f>ROUND(I43*100/DT44,2)</f>
        <v>0</v>
      </c>
      <c r="DV44" s="78"/>
      <c r="DW44" s="78" t="e">
        <f>ROUNDUP((準備!$F$60/100+準備!$E$48/100)*($G43+$H43)/2,2)</f>
        <v>#N/A</v>
      </c>
      <c r="DX44" s="78" t="e">
        <f>ROUNDUP((準備!$F$60/100+準備!$E$48/100)*($G43+$H43)/2,2)</f>
        <v>#N/A</v>
      </c>
      <c r="DY44" s="71">
        <f>IF(I43&lt;6,POWER(M44/10,2)*I43/10000,POWER((M44/10+(ROUNDDOWN(I43,0)-4)/2),2)*I43/10000)</f>
        <v>0</v>
      </c>
      <c r="DZ44" s="78">
        <v>200</v>
      </c>
      <c r="EA44" s="93">
        <f>ROUND(DY44*DZ44/100,0)</f>
        <v>0</v>
      </c>
      <c r="EB44" s="78" t="e">
        <f>ROUND((CX44*I43*100/2+EA44)/AM44,1)</f>
        <v>#N/A</v>
      </c>
      <c r="EC44" s="78" t="e">
        <f t="shared" si="100"/>
        <v>#N/A</v>
      </c>
      <c r="ED44" s="78" t="e">
        <f>ROUND((CY44*I43*100/2+EA44)/AM44,1)</f>
        <v>#N/A</v>
      </c>
      <c r="EE44" s="78" t="e">
        <f t="shared" si="101"/>
        <v>#N/A</v>
      </c>
      <c r="EF44" s="78"/>
      <c r="EG44" s="78" t="e">
        <f>+VALUE(RIGHT(H45,4))</f>
        <v>#VALUE!</v>
      </c>
      <c r="EH44" s="78"/>
      <c r="EI44" s="78" t="str">
        <f>IF(M44=0,"",ROUND(CX44*I43*100/2/DJ44,2))</f>
        <v/>
      </c>
      <c r="EJ44" s="78" t="str">
        <f>IF(M44=0,"",ROUND(CY44*I43*100/2/DK44,2))</f>
        <v/>
      </c>
      <c r="EK44" s="78"/>
      <c r="EL44" s="63" t="e">
        <f>IF(AB44=0.8,VLOOKUP(ER44,$CR$395:$CS$439,2),IF(AB44=0.9,VLOOKUP(ER44,$CR$348:$CS$394,2),VLOOKUP(ER44,$CR$301:$CS$344,2)))</f>
        <v>#N/A</v>
      </c>
      <c r="EM44" s="63" t="e">
        <f>IF(AB44=0.8,VLOOKUP(ES44,$CT$395:$CU$439,2),IF(AB44=0.9,VLOOKUP(ES44,$CT$348:$CU$394,2),VLOOKUP(ES44,$CT$301:$CU$344,2)))</f>
        <v>#N/A</v>
      </c>
      <c r="EO44" s="63" t="e">
        <f>IF(AB44=0.8,VLOOKUP(EU44,$CR$395:$CS$439,2),IF(AB44=0.9,VLOOKUP(EU44,$CR$348:$CS$394,2),VLOOKUP(EU44,$CR$301:$CS$344,2)))</f>
        <v>#N/A</v>
      </c>
      <c r="EP44" s="63" t="e">
        <f>IF(AB44=0.8,VLOOKUP(EV44,$CT$395:$CU$439,2),IF(AB44=0.9,VLOOKUP(EV44,$CT$348:$CU$394,2),VLOOKUP(EV44,$CT$301:$CU$344,2)))</f>
        <v>#N/A</v>
      </c>
      <c r="EQ44" s="155" t="e">
        <f t="shared" si="102"/>
        <v>#N/A</v>
      </c>
      <c r="ER44" s="78" t="e">
        <f>ROUNDUP(($CX44*POWER($I43*100,2)/8+FJ44)/$DH44,1)</f>
        <v>#N/A</v>
      </c>
      <c r="ES44" s="78" t="e">
        <f>ROUNDUP(5*$DW44*POWER($I43*100,4)/(384*VLOOKUP(VALUE(RIGHT($J43,4)),許容応力!$B$6:$K$22,10)*100*$DO44),2)+GB44</f>
        <v>#N/A</v>
      </c>
      <c r="ET44" s="78"/>
      <c r="EU44" s="78" t="e">
        <f>ROUNDUP(($CY44*POWER($I43*100,2)/8+FJ44)/$DI44,1)</f>
        <v>#N/A</v>
      </c>
      <c r="EV44" s="78" t="e">
        <f>ROUNDUP(5*$CY44*POWER($I43*100,4)/(384*VLOOKUP(VALUE(RIGHT($J43,4)),許容応力!$B$6:$K$22,10)*100*$DU44),2)+GE44</f>
        <v>#N/A</v>
      </c>
      <c r="EW44" s="78"/>
      <c r="EX44" s="78"/>
      <c r="EY44" s="78"/>
      <c r="EZ44" s="78"/>
      <c r="FA44" s="78"/>
      <c r="FB44" s="3">
        <v>1</v>
      </c>
      <c r="FC44" s="3">
        <v>2</v>
      </c>
      <c r="FD44" s="3">
        <v>3</v>
      </c>
      <c r="FE44" s="3">
        <v>4</v>
      </c>
      <c r="FF44" s="3">
        <v>5</v>
      </c>
      <c r="FG44" s="3">
        <v>6</v>
      </c>
      <c r="FI44" s="3" t="s">
        <v>1019</v>
      </c>
      <c r="FJ44" s="63">
        <f>IF(F45=0,0,ROUND(EH43*POWER(I43*100,2)/8,2))</f>
        <v>0</v>
      </c>
      <c r="FK44" s="3">
        <f>IF(F45=0,0,ROUND(5*EH43*POWER(I43*100,4)/(384*FL44),2))</f>
        <v>0</v>
      </c>
      <c r="FL44" s="642">
        <f>IF(F45=0,0,+VLOOKUP(VALUE(RIGHT(J43,4)),許容応力!$B$6:$K$22,10)*100)</f>
        <v>0</v>
      </c>
      <c r="FM44" s="3">
        <f>IF(F45=0,0,ROUND((FJ44)/DF43,1))</f>
        <v>0</v>
      </c>
      <c r="FN44" s="3">
        <f>IF(F45=0,0,ROUND(FK44/DG43,2))</f>
        <v>0</v>
      </c>
      <c r="FO44" s="3">
        <f>IF(F45=0,0,ROUND(FJ45/Z43,1))</f>
        <v>0</v>
      </c>
      <c r="FP44" s="3">
        <f>+FM44</f>
        <v>0</v>
      </c>
      <c r="FQ44" s="3">
        <f>+FN44</f>
        <v>0</v>
      </c>
      <c r="FR44" s="3">
        <f>+FO44</f>
        <v>0</v>
      </c>
      <c r="FS44" s="3">
        <f>IF(F45=0,0,ROUND(VLOOKUP(VALUE(RIGHT(J43,4)),許容応力!$B$6:$K$22,9)*1.1/3*100,0))</f>
        <v>0</v>
      </c>
      <c r="FT44" s="3">
        <f>IF(F45=0,0,ROUND(VLOOKUP(VALUE(RIGHT($J43,4)),許容応力!$B$6:$K$22,9)*2/3*0.8*100,0))</f>
        <v>0</v>
      </c>
      <c r="FU44" s="3">
        <f>IF(F45=0,0,ROUND(FM44/CZ43,2))</f>
        <v>0</v>
      </c>
      <c r="FV44" s="3">
        <f>IF(F45=0,0,ROUND(FN44/DA43,2))</f>
        <v>0</v>
      </c>
      <c r="FW44" s="3">
        <f>IF(F45=0,0,ROUND(FO44/DB43,2))</f>
        <v>0</v>
      </c>
      <c r="FX44" s="3">
        <f>IF(F45=0,0,ROUND(FP44/DC43,2))</f>
        <v>0</v>
      </c>
      <c r="FY44" s="3">
        <f>IF(F45=0,0,ROUND(FQ44/DD43,2))</f>
        <v>0</v>
      </c>
      <c r="FZ44" s="3">
        <f>IF(F45=0,0,ROUND(FR44/DE43,2))</f>
        <v>0</v>
      </c>
      <c r="GA44" s="87">
        <f>IF(F45=0,0,ROUNDUP(EH43*POWER(I43*100,2)/8/DH43,1))</f>
        <v>0</v>
      </c>
      <c r="GB44" s="87">
        <f>IF(F45=0,0,ROUNDUP(5*EH43*POWER(I43*100,4)/(384*VLOOKUP(VALUE(RIGHT($J43,4)),許容応力!$B$6:$K$22,10)*100*$DO43),2))</f>
        <v>0</v>
      </c>
      <c r="GC44" s="87"/>
      <c r="GD44" s="87">
        <f>+GA44</f>
        <v>0</v>
      </c>
      <c r="GE44" s="87">
        <f>+GB44</f>
        <v>0</v>
      </c>
    </row>
    <row r="45" spans="2:187" ht="15.95" customHeight="1" thickBot="1" x14ac:dyDescent="0.2">
      <c r="B45" s="1588"/>
      <c r="C45" s="1258"/>
      <c r="D45" s="1580" t="s">
        <v>1248</v>
      </c>
      <c r="E45" s="1581"/>
      <c r="F45" s="1126"/>
      <c r="G45" s="280" t="s">
        <v>1250</v>
      </c>
      <c r="H45" s="1127"/>
      <c r="I45" s="841" t="s">
        <v>1252</v>
      </c>
      <c r="J45" s="1114"/>
      <c r="K45" s="842"/>
      <c r="L45" s="843"/>
      <c r="M45" s="841"/>
      <c r="N45" s="843"/>
      <c r="O45" s="875"/>
      <c r="P45" s="845"/>
      <c r="Q45" s="881"/>
      <c r="R45" s="881"/>
      <c r="S45" s="880"/>
      <c r="T45" s="881"/>
      <c r="U45" s="881"/>
      <c r="V45" s="843"/>
      <c r="W45" s="845"/>
      <c r="X45" s="855"/>
      <c r="Y45" s="847"/>
      <c r="Z45" s="874"/>
      <c r="AA45" s="845"/>
      <c r="AB45" s="1149"/>
      <c r="AC45" s="848"/>
      <c r="AD45" s="848"/>
      <c r="AE45" s="845"/>
      <c r="AF45" s="848"/>
      <c r="AG45" s="848"/>
      <c r="AH45" s="849"/>
      <c r="AI45" s="856"/>
      <c r="AJ45" s="857"/>
      <c r="AK45" s="858"/>
      <c r="AL45" s="859"/>
      <c r="AM45" s="847"/>
      <c r="AN45" s="847"/>
      <c r="AO45" s="854"/>
      <c r="AP45" s="184"/>
      <c r="AQ45" s="185"/>
      <c r="AR45" s="23"/>
      <c r="AS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830"/>
      <c r="CO45" s="548"/>
      <c r="CP45" s="9"/>
      <c r="CQ45" s="9"/>
      <c r="CR45" s="9"/>
      <c r="CS45" s="9"/>
      <c r="CT45" s="58"/>
      <c r="CU45" s="78"/>
      <c r="CV45" s="78"/>
      <c r="CW45" s="78"/>
      <c r="CX45" s="78"/>
      <c r="CY45" s="78"/>
      <c r="CZ45" s="78"/>
      <c r="DA45" s="63"/>
      <c r="DB45" s="78"/>
      <c r="DC45" s="78"/>
      <c r="DD45" s="63"/>
      <c r="DE45" s="78"/>
      <c r="DF45" s="63"/>
      <c r="DG45" s="63"/>
      <c r="DH45" s="10"/>
      <c r="DI45" s="63"/>
      <c r="DJ45" s="10"/>
      <c r="DK45" s="63"/>
      <c r="DL45" s="10"/>
      <c r="DM45" s="63"/>
      <c r="DN45" s="63"/>
      <c r="DO45" s="78"/>
      <c r="DP45" s="78"/>
      <c r="DQ45" s="78"/>
      <c r="DR45" s="92"/>
      <c r="DS45" s="80"/>
      <c r="DT45" s="78"/>
      <c r="DU45" s="78"/>
      <c r="DV45" s="78"/>
      <c r="DW45" s="78"/>
      <c r="DX45" s="78"/>
      <c r="DY45" s="71"/>
      <c r="DZ45" s="78"/>
      <c r="EA45" s="93"/>
      <c r="EB45" s="78"/>
      <c r="EC45" s="78"/>
      <c r="ED45" s="78"/>
      <c r="EE45" s="78"/>
      <c r="EF45" s="78"/>
      <c r="EG45" s="78"/>
      <c r="EH45" s="78"/>
      <c r="EI45" s="78"/>
      <c r="EJ45" s="78"/>
      <c r="EK45" s="78"/>
      <c r="EL45" s="63"/>
      <c r="EM45" s="63"/>
      <c r="EO45" s="63"/>
      <c r="EP45" s="63"/>
      <c r="EQ45" s="155"/>
      <c r="ER45" s="78"/>
      <c r="ES45" s="78"/>
      <c r="ET45" s="78"/>
      <c r="EU45" s="78"/>
      <c r="EV45" s="78"/>
      <c r="EW45" s="78"/>
      <c r="EX45" s="78"/>
      <c r="EY45" s="78"/>
      <c r="EZ45" s="78"/>
      <c r="FA45" s="78"/>
      <c r="FB45" s="128">
        <f>+準備!$G$20/100*J45</f>
        <v>0</v>
      </c>
      <c r="FC45" s="128">
        <f>+準備!$G$24/100*J45</f>
        <v>0</v>
      </c>
      <c r="FD45" s="128">
        <f>+準備!$G$28/100*J45</f>
        <v>0</v>
      </c>
      <c r="FE45" s="128">
        <f>+準備!$G$32/100*J45</f>
        <v>0</v>
      </c>
      <c r="FF45" s="128">
        <f>+準備!$G$36/100*J45</f>
        <v>0</v>
      </c>
      <c r="FG45" s="128">
        <f>+準備!$G$38/100*J45</f>
        <v>0</v>
      </c>
      <c r="FI45" s="3" t="s">
        <v>1018</v>
      </c>
      <c r="FJ45" s="63">
        <f>IF(F45=0,0,ROUND(EH43*I43*100/2,2))</f>
        <v>0</v>
      </c>
      <c r="FK45" s="63"/>
      <c r="FM45" s="3">
        <f t="shared" ref="FM45:FR45" si="104">+FM44</f>
        <v>0</v>
      </c>
      <c r="FN45" s="3">
        <f t="shared" si="104"/>
        <v>0</v>
      </c>
      <c r="FO45" s="3">
        <f t="shared" si="104"/>
        <v>0</v>
      </c>
      <c r="FP45" s="3">
        <f t="shared" si="104"/>
        <v>0</v>
      </c>
      <c r="FQ45" s="3">
        <f t="shared" si="104"/>
        <v>0</v>
      </c>
      <c r="FR45" s="3">
        <f t="shared" si="104"/>
        <v>0</v>
      </c>
      <c r="FS45" s="3">
        <f>IF(F45=0,0,ROUND(EH43*I43*100/2/FS44/AM43,2))</f>
        <v>0</v>
      </c>
      <c r="FT45" s="3">
        <f>IF(F45=0,0,ROUND(EH43*I43*100/2/FT44/AM43,2))</f>
        <v>0</v>
      </c>
      <c r="FU45" s="3">
        <f t="shared" ref="FU45:FZ45" si="105">+FU44</f>
        <v>0</v>
      </c>
      <c r="FV45" s="3">
        <f t="shared" si="105"/>
        <v>0</v>
      </c>
      <c r="FW45" s="3">
        <f t="shared" si="105"/>
        <v>0</v>
      </c>
      <c r="FX45" s="3">
        <f t="shared" si="105"/>
        <v>0</v>
      </c>
      <c r="FY45" s="3">
        <f t="shared" si="105"/>
        <v>0</v>
      </c>
      <c r="FZ45" s="3">
        <f t="shared" si="105"/>
        <v>0</v>
      </c>
    </row>
    <row r="46" spans="2:187" ht="15.95" customHeight="1" x14ac:dyDescent="0.15">
      <c r="B46" s="1588"/>
      <c r="C46" s="1640" t="s">
        <v>819</v>
      </c>
      <c r="D46" s="331"/>
      <c r="E46" s="1576"/>
      <c r="F46" s="1577"/>
      <c r="G46" s="1563"/>
      <c r="H46" s="1563"/>
      <c r="I46" s="1563"/>
      <c r="J46" s="1565"/>
      <c r="K46" s="1117"/>
      <c r="L46" s="196">
        <f>+IF(K46=0,0,"×")</f>
        <v>0</v>
      </c>
      <c r="M46" s="241">
        <f>IF(K46=0,0,+EQ46)</f>
        <v>0</v>
      </c>
      <c r="N46" s="242" t="str">
        <f t="shared" ref="N46:N47" si="106">IF(AC46=+"","",IF(AND(AC46&lt;=1,AD46&lt;=1,AF46&lt;=1,AG46&lt;=1),"OK!","NO!"))</f>
        <v/>
      </c>
      <c r="O46" s="1520">
        <f>IF(Z46=0,0,IF(AND(U46=0,X46=0),0,IF(IF(AE46&gt;=AH46,AE46,AH46)&lt;=1,"OK!","NO!")))</f>
        <v>0</v>
      </c>
      <c r="P46" s="1476"/>
      <c r="Q46" s="1488"/>
      <c r="R46" s="1488"/>
      <c r="S46" s="1616">
        <f t="shared" ref="S46" si="107">+IF(R46=0,0,6)</f>
        <v>0</v>
      </c>
      <c r="T46" s="1488"/>
      <c r="U46" s="1488"/>
      <c r="V46" s="196" t="str">
        <f>+AA$185</f>
        <v/>
      </c>
      <c r="W46" s="1577">
        <f>IF(U46=0,0,+VLOOKUP(V46,$I$204:$J$209,2))</f>
        <v>0</v>
      </c>
      <c r="X46" s="1486"/>
      <c r="Y46" s="1468">
        <f>IF(X46=0,0,+CS46)</f>
        <v>0</v>
      </c>
      <c r="Z46" s="1313">
        <f>IF(AND(R46=0,X46=0),0,+IF(AND(VALUE(RIGHT(P46,4))=2,R46&gt;0),0,IF(AND(VALUE(RIGHT(P46,4))=1,X46&gt;0),0,CM46)))</f>
        <v>0</v>
      </c>
      <c r="AA46" s="1466">
        <f>IF(X46=0,0,IF(EI46&gt;=EJ46,EI46,EJ46))</f>
        <v>0</v>
      </c>
      <c r="AB46" s="1121"/>
      <c r="AC46" s="201" t="str">
        <f t="shared" ref="AC46:AC47" si="108">IF(M46=0,"",ROUNDUP(CZ46/DH46,2))</f>
        <v/>
      </c>
      <c r="AD46" s="201" t="str">
        <f t="shared" ref="AD46:AD47" si="109">IF(M46=0,"",ROUND(DA46/DO46,2))</f>
        <v/>
      </c>
      <c r="AE46" s="1466">
        <f>IF(G46=+"",0,IF(AND(U46=0,X46=0),0,IF(X46=0,ROUND(DB46/(DJ46*$CP$4*W46),2),ROUND(DB46/DJ46,2))))</f>
        <v>0</v>
      </c>
      <c r="AF46" s="201" t="str">
        <f t="shared" ref="AF46:AF47" si="110">IF(M46=0,"",ROUNDUP(DC46/DI46,2))</f>
        <v/>
      </c>
      <c r="AG46" s="201" t="str">
        <f t="shared" ref="AG46:AG47" si="111">IF(M46=0,"",ROUNDUP(DD46/DU46,2))</f>
        <v/>
      </c>
      <c r="AH46" s="1466">
        <f>IF(G46=+"",0,IF(AND(U46=0,X46=0),0,IF(X46=0,ROUND(DE46/(DK46*$CP$4*W46),2),ROUND(DE46/DK46,2))))</f>
        <v>0</v>
      </c>
      <c r="AI46" s="818"/>
      <c r="AJ46" s="811"/>
      <c r="AK46" s="823"/>
      <c r="AL46" s="812"/>
      <c r="AM46" s="1631">
        <f>IF(AI46=0,0,ROUND(AI46*AJ46+AK46*AL46+AI47*AJ47+AK47*AL47,2))</f>
        <v>0</v>
      </c>
      <c r="AN46" s="1631">
        <f t="shared" ref="AN46" si="112">IF(AJ46=0,0,IF(CO46=1,CN46/($CP$4*W46),CN46))</f>
        <v>0</v>
      </c>
      <c r="AO46" s="1635" t="str">
        <f t="shared" ref="AO46" si="113">IF(AN46=0,"",IF(AN46&lt;=1,"OK!","NO!"))</f>
        <v/>
      </c>
      <c r="AP46" s="186">
        <f>+IF(I46=0,0,"1/")</f>
        <v>0</v>
      </c>
      <c r="AQ46" s="187">
        <f>IF(I46=0,0,+DN46)</f>
        <v>0</v>
      </c>
      <c r="AR46" s="23"/>
      <c r="AS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1313">
        <f>IF(AND(U46=0,X46=0),0,IF(U46&gt;0,AA$196/100*$CP$4*W46,ROUND(POWER(X46*Y46,2)/(K46/10*M46/10),2)))</f>
        <v>0</v>
      </c>
      <c r="CN46" s="1304" t="str">
        <f>IF($AJ46=0,"",IF($EC46&gt;=$EE46,$EC46+FN47,$EE46+FN47))</f>
        <v/>
      </c>
      <c r="CO46" s="552">
        <f>IF(P46=0,0,+VALUE(RIGHT(P46,4)))</f>
        <v>0</v>
      </c>
      <c r="CP46" s="91" t="e">
        <f>ROUNDUP(CX46*I46*100/2/DL46,2)</f>
        <v>#N/A</v>
      </c>
      <c r="CQ46" s="91" t="e">
        <f>ROUNDUP(CY46*I46*100/2/DM46,2)</f>
        <v>#N/A</v>
      </c>
      <c r="CR46" s="91" t="e">
        <f t="shared" ref="CR46:CR47" si="114">IF(CP46&gt;=CQ46,CP46,CQ46)</f>
        <v>#N/A</v>
      </c>
      <c r="CS46" s="9">
        <f t="shared" ref="CS46" si="115">IF(M46=0,0,ROUNDUP(SQRT((AA46*K46/10*M46/10)/(X46*X46)),2))</f>
        <v>0</v>
      </c>
      <c r="CT46" s="94"/>
      <c r="CU46" s="95"/>
      <c r="CV46" s="87">
        <f>ROUNDUP(IF(VALUE(RIGHT($G$3,4))=1,$I$3*30*F48*100,$I$3*20*F48*100),0)</f>
        <v>0</v>
      </c>
      <c r="CW46" s="87"/>
      <c r="CX46" s="87" t="e">
        <f>ROUNDUP((準備!$F$60/100+準備!$C$48/100)*($G46+$H46)/2,2)</f>
        <v>#N/A</v>
      </c>
      <c r="CY46" s="87" t="e">
        <f>ROUNDUP((準備!$F$60/100+準備!$E$48/100)*($G46+$H46)/2,2)</f>
        <v>#N/A</v>
      </c>
      <c r="CZ46" s="87" t="e">
        <f>ROUNDUP(($CX46*POWER($I46*100,2)/8+FJ47)/$DF46,1)</f>
        <v>#N/A</v>
      </c>
      <c r="DA46" s="87" t="e">
        <f>ROUNDUP(5*$DW46*POWER($I46*100,4)/(384*VLOOKUP(VALUE(RIGHT($J46,4)),許容応力!$B$6:$K$22,10)*100*$DG46),2)+FN47</f>
        <v>#N/A</v>
      </c>
      <c r="DB46" s="87" t="e">
        <f>ROUND((CX46*I46*100/2)/Z46,1)</f>
        <v>#N/A</v>
      </c>
      <c r="DC46" s="87" t="e">
        <f>ROUNDUP(($CY46*POWER($I46*100,2)/8+FJ47)/$DF46,1)</f>
        <v>#N/A</v>
      </c>
      <c r="DD46" s="87" t="e">
        <f>ROUNDUP(5*$CY46*POWER($I46*100,4)/(384*VLOOKUP(VALUE(RIGHT($J46,4)),許容応力!$B$6:$K$22,10)*100*$DG46),2)+FQ47</f>
        <v>#N/A</v>
      </c>
      <c r="DE46" s="87" t="e">
        <f>ROUND((CY46*I46*100/2)/Z46,1)</f>
        <v>#N/A</v>
      </c>
      <c r="DF46" s="87">
        <f>ROUNDDOWN($K46/10*POWER($M46/10,2)/6*IF(OR($AB46=0,$AB46=1),1,$AB46),0)</f>
        <v>0</v>
      </c>
      <c r="DG46" s="87">
        <f>ROUNDDOWN($K46/10*POWER($M46/10,3)/12*IF(OR($AB46=0,$AB46=1),1,$AB46),0)</f>
        <v>0</v>
      </c>
      <c r="DH46" s="88" t="e">
        <f>VLOOKUP(DQ46,許容応力!$B$6:$K$22,7)*1.1/3*100</f>
        <v>#VALUE!</v>
      </c>
      <c r="DI46" s="87" t="e">
        <f>ROUND(VLOOKUP(DQ46,許容応力!$B$6:$K$22,7)*100*2/3*0.8,0)</f>
        <v>#VALUE!</v>
      </c>
      <c r="DJ46" s="10" t="e">
        <f>IF($DN$6=2,ROUND(VLOOKUP(DQ46,許容応力!$B$6:$K$22,8)*1.1/3*100,0),ROUND(VLOOKUP(DQ46,許容応力!$B$6:$K$22,8)*1.1/3*1.3*100,0))</f>
        <v>#VALUE!</v>
      </c>
      <c r="DK46" s="87" t="e">
        <f>ROUND(VLOOKUP(DQ46,許容応力!$B$6:$K$22,8)*100*2/3*0.8,0)</f>
        <v>#VALUE!</v>
      </c>
      <c r="DL46" s="10" t="e">
        <f>IF($DN$6=2,ROUND(VLOOKUP(DQ46,許容応力!$B$6:$K$22,9)*1.1/3*100,0),ROUND(VLOOKUP(DQ46,許容応力!$B$6:$K$22,9)*1.1/3*1.3*100,0))</f>
        <v>#VALUE!</v>
      </c>
      <c r="DM46" s="87" t="e">
        <f>ROUND(VLOOKUP(DQ46,許容応力!$B$6:$K$22,9)*100*2/3*0.8,0)</f>
        <v>#VALUE!</v>
      </c>
      <c r="DN46" s="63">
        <v>600</v>
      </c>
      <c r="DO46" s="87">
        <f>ROUND(I46*100/DN46,2)</f>
        <v>0</v>
      </c>
      <c r="DP46" s="87"/>
      <c r="DQ46" s="87" t="e">
        <f>+VALUE(RIGHT(J46,3))</f>
        <v>#VALUE!</v>
      </c>
      <c r="DR46" s="89" t="e">
        <f>ROUND(ATAN(D48/10)*180/PI(),4)</f>
        <v>#VALUE!</v>
      </c>
      <c r="DS46" s="90" t="e">
        <f t="shared" ref="DS46:DS47" si="116">ROUND(COS(DR46*PI()/180),3)</f>
        <v>#VALUE!</v>
      </c>
      <c r="DT46" s="87">
        <f>VLOOKUP(VALUE(RIGHT(C46,4)),$C$632:$F$641,4)</f>
        <v>225</v>
      </c>
      <c r="DU46" s="87">
        <f>ROUND(I46*100/DT46,2)</f>
        <v>0</v>
      </c>
      <c r="DV46" s="87"/>
      <c r="DW46" s="87" t="e">
        <f>ROUNDUP((準備!$F$60/100+準備!$E$48/100)*($G46+$H46)/2,2)</f>
        <v>#N/A</v>
      </c>
      <c r="DX46" s="87" t="e">
        <f>ROUNDUP((準備!$F$60/100+準備!$E$48/100)*($G46+$H46)/2,2)</f>
        <v>#N/A</v>
      </c>
      <c r="DY46" s="87"/>
      <c r="DZ46" s="87"/>
      <c r="EA46" s="87"/>
      <c r="EB46" s="87" t="e">
        <f>ROUND(CX46*I46*100/2/AM46,1)</f>
        <v>#N/A</v>
      </c>
      <c r="EC46" s="87" t="e">
        <f t="shared" ref="EC46:EC47" si="117">ROUND(EB46/DL46,2)</f>
        <v>#N/A</v>
      </c>
      <c r="ED46" s="87" t="e">
        <f>ROUND(CY46*I46*100/2/AM46,1)</f>
        <v>#N/A</v>
      </c>
      <c r="EE46" s="87" t="e">
        <f t="shared" ref="EE46:EE47" si="118">ROUND(ED46/DM46,2)</f>
        <v>#N/A</v>
      </c>
      <c r="EF46" s="87"/>
      <c r="EG46" s="87">
        <f>IF(F48=0,0,+VALUE(RIGHT(F48,4)))</f>
        <v>0</v>
      </c>
      <c r="EH46" s="3">
        <f>+IF(EG46=1,HLOOKUP(EG47,FB47:FG48,2),0)</f>
        <v>0</v>
      </c>
      <c r="EI46" s="87" t="str">
        <f>IF(M46=0,"",ROUND(CX46*I46*100/2/DJ46,2))</f>
        <v/>
      </c>
      <c r="EJ46" s="87" t="str">
        <f>IF(M46=0,"",ROUND(CY46*I46*100/2/DK46,2))</f>
        <v/>
      </c>
      <c r="EK46" s="87"/>
      <c r="EL46" s="63" t="e">
        <f>ROUNDUP(ER46/3,-1)*3</f>
        <v>#N/A</v>
      </c>
      <c r="EM46" s="63" t="e">
        <f>ROUNDUP(ES46/3,-1)*3</f>
        <v>#N/A</v>
      </c>
      <c r="EO46" s="63" t="e">
        <f>ROUNDUP(EU46/3,-1)*3</f>
        <v>#N/A</v>
      </c>
      <c r="EP46" s="63" t="e">
        <f>ROUNDUP(EV46/3,-1)*3</f>
        <v>#N/A</v>
      </c>
      <c r="EQ46" s="155" t="e">
        <f t="shared" ref="EQ46:EQ47" si="119">+MAX(EL46:EP46)</f>
        <v>#N/A</v>
      </c>
      <c r="ER46" s="87" t="e">
        <f>ROUNDUP(SQRT(EW46/($K46/10)*6/IF(OR($AB46=0,$AB46=1),1,$AB46)),0)*10</f>
        <v>#N/A</v>
      </c>
      <c r="ES46" s="87" t="e">
        <f>POWER(ROUNDUP(EX46/($K46/10)*12/IF(OR($AB46=0,$AB46=1),1,$AB46),0),1/3)*10</f>
        <v>#N/A</v>
      </c>
      <c r="EU46" s="87" t="e">
        <f>ROUNDUP(SQRT(EZ46/($K46/10)*6/IF(OR($AB46=0,$AB46=1),1,$AB46))*10,0)</f>
        <v>#N/A</v>
      </c>
      <c r="EV46" s="87" t="e">
        <f>POWER(ROUNDUP(FA46/($K46/10)*12/IF(OR($AB46=0,$AB46=1),1,$AB46),0),1/3)*10</f>
        <v>#N/A</v>
      </c>
      <c r="EW46" s="87" t="e">
        <f>ROUNDUP(($CX46*POWER($I46*100,2)/8+FJ47)/$DH46,1)</f>
        <v>#N/A</v>
      </c>
      <c r="EX46" s="87" t="e">
        <f>ROUNDUP(5*$DW46*POWER($I46*100,4)/(384*VLOOKUP(VALUE(RIGHT($J46,4)),許容応力!$B$6:$K$22,10)*100*$DO46),2)+GB47</f>
        <v>#N/A</v>
      </c>
      <c r="EY46" s="87"/>
      <c r="EZ46" s="87" t="e">
        <f>ROUNDUP(($CY46*POWER($I46*100,2)/8+FJ47)/$DI46,1)</f>
        <v>#N/A</v>
      </c>
      <c r="FA46" s="87" t="e">
        <f>ROUNDUP(5*$CY46*POWER($I46*100,4)/(384*VLOOKUP(VALUE(RIGHT($J46,4)),許容応力!$B$6:$K$22,10)*100*$DU46),2)+GE47</f>
        <v>#N/A</v>
      </c>
      <c r="FB46" s="410" t="s">
        <v>1005</v>
      </c>
      <c r="FC46" s="3" t="s">
        <v>1007</v>
      </c>
      <c r="FD46" s="3" t="s">
        <v>1008</v>
      </c>
      <c r="FE46" s="3" t="s">
        <v>1009</v>
      </c>
      <c r="FF46" s="3" t="s">
        <v>1010</v>
      </c>
      <c r="FG46" s="410" t="s">
        <v>1006</v>
      </c>
      <c r="FH46" s="410" t="s">
        <v>1016</v>
      </c>
      <c r="FI46" s="3" t="s">
        <v>1249</v>
      </c>
      <c r="FK46" s="3" t="s">
        <v>189</v>
      </c>
      <c r="FL46" s="3" t="s">
        <v>1253</v>
      </c>
      <c r="FM46" s="412" t="s">
        <v>1013</v>
      </c>
      <c r="FN46" s="349" t="s">
        <v>1014</v>
      </c>
      <c r="FO46" s="412" t="s">
        <v>1015</v>
      </c>
      <c r="FP46" s="412" t="s">
        <v>1013</v>
      </c>
      <c r="FQ46" s="349" t="s">
        <v>1014</v>
      </c>
      <c r="FR46" s="412" t="s">
        <v>1015</v>
      </c>
      <c r="FS46" s="3" t="s">
        <v>1223</v>
      </c>
      <c r="FT46" s="3" t="s">
        <v>1224</v>
      </c>
      <c r="FU46" s="412" t="s">
        <v>1065</v>
      </c>
      <c r="FV46" s="349" t="s">
        <v>1066</v>
      </c>
      <c r="FW46" s="412" t="s">
        <v>1067</v>
      </c>
      <c r="FX46" s="412" t="s">
        <v>1065</v>
      </c>
      <c r="FY46" s="349" t="s">
        <v>1066</v>
      </c>
      <c r="FZ46" s="412" t="s">
        <v>1067</v>
      </c>
    </row>
    <row r="47" spans="2:187" ht="15.95" customHeight="1" x14ac:dyDescent="0.15">
      <c r="B47" s="1588"/>
      <c r="C47" s="1639"/>
      <c r="D47" s="831"/>
      <c r="E47" s="1578"/>
      <c r="F47" s="1578"/>
      <c r="G47" s="1564"/>
      <c r="H47" s="1564"/>
      <c r="I47" s="1564"/>
      <c r="J47" s="1566"/>
      <c r="K47" s="1567">
        <f>+IF(J46=0,0,"丸太末口 φ")</f>
        <v>0</v>
      </c>
      <c r="L47" s="1568"/>
      <c r="M47" s="832">
        <f>IF(J46=0,0,+EQ47)</f>
        <v>0</v>
      </c>
      <c r="N47" s="833" t="str">
        <f t="shared" si="106"/>
        <v/>
      </c>
      <c r="O47" s="1571"/>
      <c r="P47" s="1477"/>
      <c r="Q47" s="1489"/>
      <c r="R47" s="1489"/>
      <c r="S47" s="1576"/>
      <c r="T47" s="1489"/>
      <c r="U47" s="1489"/>
      <c r="V47" s="1022" t="str">
        <f>+AA$184</f>
        <v/>
      </c>
      <c r="W47" s="1578"/>
      <c r="X47" s="1487"/>
      <c r="Y47" s="1469"/>
      <c r="Z47" s="1485"/>
      <c r="AA47" s="1467"/>
      <c r="AB47" s="1124"/>
      <c r="AC47" s="834" t="str">
        <f t="shared" si="108"/>
        <v/>
      </c>
      <c r="AD47" s="834" t="str">
        <f t="shared" si="109"/>
        <v/>
      </c>
      <c r="AE47" s="1467"/>
      <c r="AF47" s="834" t="str">
        <f t="shared" si="110"/>
        <v/>
      </c>
      <c r="AG47" s="834" t="str">
        <f t="shared" si="111"/>
        <v/>
      </c>
      <c r="AH47" s="1474"/>
      <c r="AI47" s="835"/>
      <c r="AJ47" s="836"/>
      <c r="AK47" s="837"/>
      <c r="AL47" s="838"/>
      <c r="AM47" s="1469"/>
      <c r="AN47" s="1632"/>
      <c r="AO47" s="1636"/>
      <c r="AP47" s="839">
        <f>+IF(I46=0,0,"1/")</f>
        <v>0</v>
      </c>
      <c r="AQ47" s="840">
        <f>IF(I46=0,0,+DN47)</f>
        <v>0</v>
      </c>
      <c r="AR47" s="23"/>
      <c r="AS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1312"/>
      <c r="CN47" s="1301"/>
      <c r="CO47" s="548"/>
      <c r="CP47" s="9" t="e">
        <f>ROUNDUP(CX47*I46*100/2/DL47,2)</f>
        <v>#N/A</v>
      </c>
      <c r="CQ47" s="9" t="e">
        <f>ROUNDUP(CY47*I46*100/2/DM47,2)</f>
        <v>#N/A</v>
      </c>
      <c r="CR47" s="9" t="e">
        <f t="shared" si="114"/>
        <v>#N/A</v>
      </c>
      <c r="CS47" s="9">
        <f t="shared" ref="CS47" si="120">IF(M47=0,0,ROUNDUP(SQRT(AA47*(M47/10-6)*(M47/10-3))/(X47*X47),2))</f>
        <v>0</v>
      </c>
      <c r="CT47" s="58"/>
      <c r="CU47" s="78"/>
      <c r="CV47" s="78">
        <f>ROUNDUP(IF(VALUE(RIGHT($G$3,4))=1,$I$3*30*F48*100,$I$3*20*F48*100),0)</f>
        <v>0</v>
      </c>
      <c r="CW47" s="78"/>
      <c r="CX47" s="78" t="e">
        <f>ROUNDUP((準備!$F$60/100+準備!$C$48/100)*($G46+$H46)/2,2)</f>
        <v>#N/A</v>
      </c>
      <c r="CY47" s="78" t="e">
        <f>ROUNDUP((準備!$F$60/100+準備!$E$48/100)*($G46+$H46)/2,2)</f>
        <v>#N/A</v>
      </c>
      <c r="CZ47" s="78">
        <f>IF(K47=0,0,ROUNDUP(($CX47*POWER($I46*100,2)/8+FJ47)/$DF47,1))</f>
        <v>0</v>
      </c>
      <c r="DA47" s="63" t="e">
        <f>ROUNDUP(5*$CY47*POWER($I46*100,4)/(384*VLOOKUP(VALUE(RIGHT($J46,4)),許容応力!$L$6:$U$22,10)*100*$DG47),2)+FQ47</f>
        <v>#N/A</v>
      </c>
      <c r="DB47" s="78" t="e">
        <f>ROUND((CX47*I46*100/2)/Z46,1)</f>
        <v>#N/A</v>
      </c>
      <c r="DC47" s="78" t="e">
        <f>ROUNDUP(($CY47*POWER($I46*100,2)/8+FJ47)/$DF47,1)</f>
        <v>#N/A</v>
      </c>
      <c r="DD47" s="63" t="e">
        <f>ROUNDUP(5*$CY47*POWER($I46*100,4)/(384*VLOOKUP(VALUE(RIGHT($J46,4)),許容応力!$L$6:$U$22,10)*100*$DG47),2)+FQ47</f>
        <v>#N/A</v>
      </c>
      <c r="DE47" s="78" t="e">
        <f>ROUND((CY47*I46*100/2)/Z46,1)</f>
        <v>#N/A</v>
      </c>
      <c r="DF47" s="63">
        <f>IF(M47&lt;180,ROUND((M47/10-3)*POWER(M47/10-3,2)/6*IF(AB47=0,1,AB47),0),ROUND((M47/10-5)*POWER(M47/10-3,2)/6*IF($AB47=0,1,$AB47),0))</f>
        <v>-5</v>
      </c>
      <c r="DG47" s="63">
        <f>ROUND(IF(M47&lt;180,(M47/10-3)*POWER((M47/10-3),3)/12*IF(AB47=0,1,AB47),(M47/10-4))*POWER((M47/10-3),3)/12*IF(AB47=0,1,AB47),0)</f>
        <v>-15</v>
      </c>
      <c r="DH47" s="10" t="e">
        <f>IF($DN$6=2,ROUND(VLOOKUP(DQ47,許容応力!$L$6:$U$22,7)*1.1/3*100,0),ROUND(VLOOKUP(DQ47,許容応力!$L$6:$U$22,7)*1.1/3*1.3*100,0))</f>
        <v>#VALUE!</v>
      </c>
      <c r="DI47" s="63" t="e">
        <f>ROUND(VLOOKUP(DQ47,許容応力!$L$6:$U$22,7)*100*2/3*0.8,0)</f>
        <v>#VALUE!</v>
      </c>
      <c r="DJ47" s="10" t="e">
        <f>IF($DN$6=2,ROUND(VLOOKUP(DQ47,許容応力!$L$6:$U$22,8)*1.1/3*100,0),ROUND(VLOOKUP(DQ47,許容応力!$L$6:$U$22,8)*1.1/3*1.3*100,0))</f>
        <v>#VALUE!</v>
      </c>
      <c r="DK47" s="63" t="e">
        <f>ROUND(VLOOKUP(DQ47,許容応力!$L$6:$U$22,8)*100*2/3*0.8,0)</f>
        <v>#VALUE!</v>
      </c>
      <c r="DL47" s="10" t="e">
        <f>IF($DN$6=2,ROUND(VLOOKUP(DQ47,許容応力!$L$6:$U$22,9)*1.1/3*100,0),ROUND(VLOOKUP(DQ47,許容応力!$L$6:$U$22,9)*1.1/3*1.3*100,0))</f>
        <v>#VALUE!</v>
      </c>
      <c r="DM47" s="63" t="e">
        <f>ROUND(VLOOKUP(DQ47,許容応力!$L$6:$U$22,9)*100*2/3*0.8,0)</f>
        <v>#VALUE!</v>
      </c>
      <c r="DN47" s="63">
        <v>600</v>
      </c>
      <c r="DO47" s="78">
        <f>ROUND(I46*100/DN47,2)</f>
        <v>0</v>
      </c>
      <c r="DP47" s="78"/>
      <c r="DQ47" s="78" t="e">
        <f>+VALUE(RIGHT(J46,3))</f>
        <v>#VALUE!</v>
      </c>
      <c r="DR47" s="92" t="e">
        <f>ROUND(ATAN(D48/10)*180/PI(),4)</f>
        <v>#VALUE!</v>
      </c>
      <c r="DS47" s="80" t="e">
        <f t="shared" si="116"/>
        <v>#VALUE!</v>
      </c>
      <c r="DT47" s="78">
        <f>VLOOKUP(VALUE(RIGHT(C46,4)),$C$632:$F$641,4)</f>
        <v>225</v>
      </c>
      <c r="DU47" s="78">
        <f>ROUND(I46*100/DT47,2)</f>
        <v>0</v>
      </c>
      <c r="DV47" s="78"/>
      <c r="DW47" s="78" t="e">
        <f>ROUNDUP((準備!$F$60/100+準備!$E$48/100)*($G46+$H46)/2,2)</f>
        <v>#N/A</v>
      </c>
      <c r="DX47" s="78" t="e">
        <f>ROUNDUP((準備!$F$60/100+準備!$E$48/100)*($G46+$H46)/2,2)</f>
        <v>#N/A</v>
      </c>
      <c r="DY47" s="71">
        <f>IF(I46&lt;6,POWER(M47/10,2)*I46/10000,POWER((M47/10+(ROUNDDOWN(I46,0)-4)/2),2)*I46/10000)</f>
        <v>0</v>
      </c>
      <c r="DZ47" s="78">
        <v>200</v>
      </c>
      <c r="EA47" s="93">
        <f>ROUND(DY47*DZ47/100,0)</f>
        <v>0</v>
      </c>
      <c r="EB47" s="78" t="e">
        <f>ROUND((CX47*I46*100/2+EA47)/AM47,1)</f>
        <v>#N/A</v>
      </c>
      <c r="EC47" s="78" t="e">
        <f t="shared" si="117"/>
        <v>#N/A</v>
      </c>
      <c r="ED47" s="78" t="e">
        <f>ROUND((CY47*I46*100/2+EA47)/AM47,1)</f>
        <v>#N/A</v>
      </c>
      <c r="EE47" s="78" t="e">
        <f t="shared" si="118"/>
        <v>#N/A</v>
      </c>
      <c r="EF47" s="78"/>
      <c r="EG47" s="78" t="e">
        <f>+VALUE(RIGHT(H48,4))</f>
        <v>#VALUE!</v>
      </c>
      <c r="EH47" s="78"/>
      <c r="EI47" s="78" t="str">
        <f>IF(M47=0,"",ROUND(CX47*I46*100/2/DJ47,2))</f>
        <v/>
      </c>
      <c r="EJ47" s="78" t="str">
        <f>IF(M47=0,"",ROUND(CY47*I46*100/2/DK47,2))</f>
        <v/>
      </c>
      <c r="EK47" s="78"/>
      <c r="EL47" s="63" t="e">
        <f>IF(AB47=0.8,VLOOKUP(ER47,$CR$395:$CS$439,2),IF(AB47=0.9,VLOOKUP(ER47,$CR$348:$CS$394,2),VLOOKUP(ER47,$CR$301:$CS$344,2)))</f>
        <v>#N/A</v>
      </c>
      <c r="EM47" s="63" t="e">
        <f>IF(AB47=0.8,VLOOKUP(ES47,$CT$395:$CU$439,2),IF(AB47=0.9,VLOOKUP(ES47,$CT$348:$CU$394,2),VLOOKUP(ES47,$CT$301:$CU$344,2)))</f>
        <v>#N/A</v>
      </c>
      <c r="EO47" s="63" t="e">
        <f>IF(AB47=0.8,VLOOKUP(EU47,$CR$395:$CS$439,2),IF(AB47=0.9,VLOOKUP(EU47,$CR$348:$CS$394,2),VLOOKUP(EU47,$CR$301:$CS$344,2)))</f>
        <v>#N/A</v>
      </c>
      <c r="EP47" s="63" t="e">
        <f>IF(AB47=0.8,VLOOKUP(EV47,$CT$395:$CU$439,2),IF(AB47=0.9,VLOOKUP(EV47,$CT$348:$CU$394,2),VLOOKUP(EV47,$CT$301:$CU$344,2)))</f>
        <v>#N/A</v>
      </c>
      <c r="EQ47" s="155" t="e">
        <f t="shared" si="119"/>
        <v>#N/A</v>
      </c>
      <c r="ER47" s="78" t="e">
        <f>ROUNDUP(($CX47*POWER($I46*100,2)/8+FJ47)/$DH47,1)</f>
        <v>#N/A</v>
      </c>
      <c r="ES47" s="78" t="e">
        <f>ROUNDUP(5*$DW47*POWER($I46*100,4)/(384*VLOOKUP(VALUE(RIGHT($J46,4)),許容応力!$B$6:$K$22,10)*100*$DO47),2)+GB47</f>
        <v>#N/A</v>
      </c>
      <c r="ET47" s="78"/>
      <c r="EU47" s="78" t="e">
        <f>ROUNDUP(($CY47*POWER($I46*100,2)/8+FJ47)/$DI47,1)</f>
        <v>#N/A</v>
      </c>
      <c r="EV47" s="78" t="e">
        <f>ROUNDUP(5*$CY47*POWER($I46*100,4)/(384*VLOOKUP(VALUE(RIGHT($J46,4)),許容応力!$B$6:$K$22,10)*100*$DU47),2)+GE47</f>
        <v>#N/A</v>
      </c>
      <c r="EW47" s="78"/>
      <c r="EX47" s="78"/>
      <c r="EY47" s="78"/>
      <c r="EZ47" s="78"/>
      <c r="FA47" s="78"/>
      <c r="FB47" s="3">
        <v>1</v>
      </c>
      <c r="FC47" s="3">
        <v>2</v>
      </c>
      <c r="FD47" s="3">
        <v>3</v>
      </c>
      <c r="FE47" s="3">
        <v>4</v>
      </c>
      <c r="FF47" s="3">
        <v>5</v>
      </c>
      <c r="FG47" s="3">
        <v>6</v>
      </c>
      <c r="FI47" s="3" t="s">
        <v>1019</v>
      </c>
      <c r="FJ47" s="63">
        <f>IF(F48=0,0,ROUND(EH46*POWER(I46*100,2)/8,2))</f>
        <v>0</v>
      </c>
      <c r="FK47" s="3">
        <f>IF(F48=0,0,ROUND(5*EH46*POWER(I46*100,4)/(384*FL47),2))</f>
        <v>0</v>
      </c>
      <c r="FL47" s="642">
        <f>IF(F48=0,0,+VLOOKUP(VALUE(RIGHT(J46,4)),許容応力!$B$6:$K$22,10)*100)</f>
        <v>0</v>
      </c>
      <c r="FM47" s="3">
        <f>IF(F48=0,0,ROUND((FJ47)/DF46,1))</f>
        <v>0</v>
      </c>
      <c r="FN47" s="3">
        <f>IF(F48=0,0,ROUND(FK47/DG46,2))</f>
        <v>0</v>
      </c>
      <c r="FO47" s="3">
        <f>IF(F48=0,0,ROUND(FJ48/Z46,1))</f>
        <v>0</v>
      </c>
      <c r="FP47" s="3">
        <f>+FM47</f>
        <v>0</v>
      </c>
      <c r="FQ47" s="3">
        <f>+FN47</f>
        <v>0</v>
      </c>
      <c r="FR47" s="3">
        <f>+FO47</f>
        <v>0</v>
      </c>
      <c r="FS47" s="3">
        <f>IF(F48=0,0,ROUND(VLOOKUP(VALUE(RIGHT(J46,4)),許容応力!$B$6:$K$22,9)*1.1/3*100,0))</f>
        <v>0</v>
      </c>
      <c r="FT47" s="3">
        <f>IF(F48=0,0,ROUND(VLOOKUP(VALUE(RIGHT($J46,4)),許容応力!$B$6:$K$22,9)*2/3*0.8*100,0))</f>
        <v>0</v>
      </c>
      <c r="FU47" s="3">
        <f>IF(F48=0,0,ROUND(FM47/CZ46,2))</f>
        <v>0</v>
      </c>
      <c r="FV47" s="3">
        <f>IF(F48=0,0,ROUND(FN47/DA46,2))</f>
        <v>0</v>
      </c>
      <c r="FW47" s="3">
        <f>IF(F48=0,0,ROUND(FO47/DB46,2))</f>
        <v>0</v>
      </c>
      <c r="FX47" s="3">
        <f>IF(F48=0,0,ROUND(FP47/DC46,2))</f>
        <v>0</v>
      </c>
      <c r="FY47" s="3">
        <f>IF(F48=0,0,ROUND(FQ47/DD46,2))</f>
        <v>0</v>
      </c>
      <c r="FZ47" s="3">
        <f>IF(F48=0,0,ROUND(FR47/DE46,2))</f>
        <v>0</v>
      </c>
      <c r="GA47" s="87">
        <f>IF(F48=0,0,ROUNDUP(EH46*POWER(I46*100,2)/8/DH46,1))</f>
        <v>0</v>
      </c>
      <c r="GB47" s="87">
        <f>IF(F48=0,0,ROUNDUP(5*EH46*POWER(I46*100,4)/(384*VLOOKUP(VALUE(RIGHT($J46,4)),許容応力!$B$6:$K$22,10)*100*$DO46),2))</f>
        <v>0</v>
      </c>
      <c r="GC47" s="87"/>
      <c r="GD47" s="87">
        <f>+GA47</f>
        <v>0</v>
      </c>
      <c r="GE47" s="87">
        <f>+GB47</f>
        <v>0</v>
      </c>
    </row>
    <row r="48" spans="2:187" ht="15.95" customHeight="1" thickBot="1" x14ac:dyDescent="0.2">
      <c r="B48" s="1588"/>
      <c r="C48" s="1258"/>
      <c r="D48" s="1580" t="s">
        <v>1248</v>
      </c>
      <c r="E48" s="1581"/>
      <c r="F48" s="1126"/>
      <c r="G48" s="280" t="s">
        <v>1250</v>
      </c>
      <c r="H48" s="1127"/>
      <c r="I48" s="841" t="s">
        <v>1252</v>
      </c>
      <c r="J48" s="1114"/>
      <c r="K48" s="842"/>
      <c r="L48" s="843"/>
      <c r="M48" s="841"/>
      <c r="N48" s="843"/>
      <c r="O48" s="875"/>
      <c r="P48" s="845"/>
      <c r="Q48" s="881"/>
      <c r="R48" s="881"/>
      <c r="S48" s="880"/>
      <c r="T48" s="881"/>
      <c r="U48" s="881"/>
      <c r="V48" s="843"/>
      <c r="W48" s="845"/>
      <c r="X48" s="855"/>
      <c r="Y48" s="847"/>
      <c r="Z48" s="874"/>
      <c r="AA48" s="845"/>
      <c r="AB48" s="1149"/>
      <c r="AC48" s="848"/>
      <c r="AD48" s="848"/>
      <c r="AE48" s="845"/>
      <c r="AF48" s="848"/>
      <c r="AG48" s="848"/>
      <c r="AH48" s="849"/>
      <c r="AI48" s="856"/>
      <c r="AJ48" s="857"/>
      <c r="AK48" s="858"/>
      <c r="AL48" s="859"/>
      <c r="AM48" s="847"/>
      <c r="AN48" s="847"/>
      <c r="AO48" s="854"/>
      <c r="AP48" s="184"/>
      <c r="AQ48" s="185"/>
      <c r="AR48" s="23"/>
      <c r="AS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830"/>
      <c r="CO48" s="548"/>
      <c r="CP48" s="9"/>
      <c r="CQ48" s="9"/>
      <c r="CR48" s="9"/>
      <c r="CS48" s="9"/>
      <c r="CT48" s="58"/>
      <c r="CU48" s="78"/>
      <c r="CV48" s="78"/>
      <c r="CW48" s="78"/>
      <c r="CX48" s="78"/>
      <c r="CY48" s="78"/>
      <c r="CZ48" s="78"/>
      <c r="DA48" s="63"/>
      <c r="DB48" s="78"/>
      <c r="DC48" s="78"/>
      <c r="DD48" s="63"/>
      <c r="DE48" s="78"/>
      <c r="DF48" s="63"/>
      <c r="DG48" s="63"/>
      <c r="DH48" s="10"/>
      <c r="DI48" s="63"/>
      <c r="DJ48" s="10"/>
      <c r="DK48" s="63"/>
      <c r="DL48" s="10"/>
      <c r="DM48" s="63"/>
      <c r="DN48" s="63"/>
      <c r="DO48" s="78"/>
      <c r="DP48" s="78"/>
      <c r="DQ48" s="78"/>
      <c r="DR48" s="92"/>
      <c r="DS48" s="80"/>
      <c r="DT48" s="78"/>
      <c r="DU48" s="78"/>
      <c r="DV48" s="78"/>
      <c r="DW48" s="78"/>
      <c r="DX48" s="78"/>
      <c r="DY48" s="71"/>
      <c r="DZ48" s="78"/>
      <c r="EA48" s="93"/>
      <c r="EB48" s="78"/>
      <c r="EC48" s="78"/>
      <c r="ED48" s="78"/>
      <c r="EE48" s="78"/>
      <c r="EF48" s="78"/>
      <c r="EG48" s="78"/>
      <c r="EH48" s="78"/>
      <c r="EI48" s="78"/>
      <c r="EJ48" s="78"/>
      <c r="EK48" s="78"/>
      <c r="EL48" s="63"/>
      <c r="EM48" s="63"/>
      <c r="EO48" s="63"/>
      <c r="EP48" s="63"/>
      <c r="EQ48" s="155"/>
      <c r="ER48" s="78"/>
      <c r="ES48" s="78"/>
      <c r="ET48" s="78"/>
      <c r="EU48" s="78"/>
      <c r="EV48" s="78"/>
      <c r="EW48" s="78"/>
      <c r="EX48" s="78"/>
      <c r="EY48" s="78"/>
      <c r="EZ48" s="78"/>
      <c r="FA48" s="78"/>
      <c r="FB48" s="128">
        <f>+準備!$G$20/100*J48</f>
        <v>0</v>
      </c>
      <c r="FC48" s="128">
        <f>+準備!$G$24/100*J48</f>
        <v>0</v>
      </c>
      <c r="FD48" s="128">
        <f>+準備!$G$28/100*J48</f>
        <v>0</v>
      </c>
      <c r="FE48" s="128">
        <f>+準備!$G$32/100*J48</f>
        <v>0</v>
      </c>
      <c r="FF48" s="128">
        <f>+準備!$G$36/100*J48</f>
        <v>0</v>
      </c>
      <c r="FG48" s="128">
        <f>+準備!$G$38/100*J48</f>
        <v>0</v>
      </c>
      <c r="FI48" s="3" t="s">
        <v>1018</v>
      </c>
      <c r="FJ48" s="63">
        <f>IF(F48=0,0,ROUND(EH46*I46*100/2,2))</f>
        <v>0</v>
      </c>
      <c r="FK48" s="63"/>
      <c r="FM48" s="3">
        <f t="shared" ref="FM48:FR48" si="121">+FM47</f>
        <v>0</v>
      </c>
      <c r="FN48" s="3">
        <f t="shared" si="121"/>
        <v>0</v>
      </c>
      <c r="FO48" s="3">
        <f t="shared" si="121"/>
        <v>0</v>
      </c>
      <c r="FP48" s="3">
        <f t="shared" si="121"/>
        <v>0</v>
      </c>
      <c r="FQ48" s="3">
        <f t="shared" si="121"/>
        <v>0</v>
      </c>
      <c r="FR48" s="3">
        <f t="shared" si="121"/>
        <v>0</v>
      </c>
      <c r="FS48" s="3">
        <f>IF(F48=0,0,ROUND(EH46*I46*100/2/FS47/AM46,2))</f>
        <v>0</v>
      </c>
      <c r="FT48" s="3">
        <f>IF(F48=0,0,ROUND(EH46*I46*100/2/FT47/AM46,2))</f>
        <v>0</v>
      </c>
      <c r="FU48" s="3">
        <f t="shared" ref="FU48:FZ48" si="122">+FU47</f>
        <v>0</v>
      </c>
      <c r="FV48" s="3">
        <f t="shared" si="122"/>
        <v>0</v>
      </c>
      <c r="FW48" s="3">
        <f t="shared" si="122"/>
        <v>0</v>
      </c>
      <c r="FX48" s="3">
        <f t="shared" si="122"/>
        <v>0</v>
      </c>
      <c r="FY48" s="3">
        <f t="shared" si="122"/>
        <v>0</v>
      </c>
      <c r="FZ48" s="3">
        <f t="shared" si="122"/>
        <v>0</v>
      </c>
    </row>
    <row r="49" spans="2:187" ht="15.95" customHeight="1" x14ac:dyDescent="0.15">
      <c r="B49" s="1588"/>
      <c r="C49" s="1640" t="s">
        <v>820</v>
      </c>
      <c r="D49" s="331"/>
      <c r="E49" s="1576"/>
      <c r="F49" s="1577"/>
      <c r="G49" s="1563"/>
      <c r="H49" s="1563"/>
      <c r="I49" s="1563"/>
      <c r="J49" s="1565"/>
      <c r="K49" s="1117"/>
      <c r="L49" s="196">
        <f>+IF(K49=0,0,"×")</f>
        <v>0</v>
      </c>
      <c r="M49" s="241">
        <f>IF(K49=0,0,+EQ49)</f>
        <v>0</v>
      </c>
      <c r="N49" s="242" t="str">
        <f t="shared" ref="N49:N50" si="123">IF(AC49=+"","",IF(AND(AC49&lt;=1,AD49&lt;=1,AF49&lt;=1,AG49&lt;=1),"OK!","NO!"))</f>
        <v/>
      </c>
      <c r="O49" s="1520">
        <f>IF(Z49=0,0,IF(AND(U49=0,X49=0),0,IF(IF(AE49&gt;=AH49,AE49,AH49)&lt;=1,"OK!","NO!")))</f>
        <v>0</v>
      </c>
      <c r="P49" s="1476"/>
      <c r="Q49" s="1488"/>
      <c r="R49" s="1488"/>
      <c r="S49" s="1616">
        <f t="shared" ref="S49" si="124">+IF(R49=0,0,6)</f>
        <v>0</v>
      </c>
      <c r="T49" s="1488"/>
      <c r="U49" s="1488"/>
      <c r="V49" s="196" t="str">
        <f>+AB$185</f>
        <v/>
      </c>
      <c r="W49" s="1577">
        <f>IF(U49=0,0,+VLOOKUP(V49,$I$204:$J$209,2))</f>
        <v>0</v>
      </c>
      <c r="X49" s="1486"/>
      <c r="Y49" s="1468">
        <f>IF(X49=0,0,+CS49)</f>
        <v>0</v>
      </c>
      <c r="Z49" s="1313">
        <f>IF(AND(R49=0,X49=0),0,+IF(AND(VALUE(RIGHT(P49,4))=2,R49&gt;0),0,IF(AND(VALUE(RIGHT(P49,4))=1,X49&gt;0),0,CM49)))</f>
        <v>0</v>
      </c>
      <c r="AA49" s="1466">
        <f>IF(X49=0,0,IF(EI49&gt;=EJ49,EI49,EJ49))</f>
        <v>0</v>
      </c>
      <c r="AB49" s="1121"/>
      <c r="AC49" s="201" t="str">
        <f t="shared" ref="AC49:AC50" si="125">IF(M49=0,"",ROUNDUP(CZ49/DH49,2))</f>
        <v/>
      </c>
      <c r="AD49" s="201" t="str">
        <f t="shared" ref="AD49:AD50" si="126">IF(M49=0,"",ROUND(DA49/DO49,2))</f>
        <v/>
      </c>
      <c r="AE49" s="1466">
        <f>IF(G49=+"",0,IF(AND(U49=0,X49=0),0,IF(X49=0,ROUND(DB49/(DJ49*$CP$4*W49),2),ROUND(DB49/DJ49,2))))</f>
        <v>0</v>
      </c>
      <c r="AF49" s="201" t="str">
        <f t="shared" ref="AF49:AF50" si="127">IF(M49=0,"",ROUNDUP(DC49/DI49,2))</f>
        <v/>
      </c>
      <c r="AG49" s="201" t="str">
        <f t="shared" ref="AG49:AG50" si="128">IF(M49=0,"",ROUNDUP(DD49/DU49,2))</f>
        <v/>
      </c>
      <c r="AH49" s="1466">
        <f>IF(G49=+"",0,IF(AND(U49=0,X49=0),0,IF(X49=0,ROUND(DE49/(DK49*$CP$4*W49),2),ROUND(DE49/DK49,2))))</f>
        <v>0</v>
      </c>
      <c r="AI49" s="818"/>
      <c r="AJ49" s="811"/>
      <c r="AK49" s="823"/>
      <c r="AL49" s="812"/>
      <c r="AM49" s="1631">
        <f>IF(AI49=0,0,ROUND(AI49*AJ49+AK49*AL49+AI50*AJ50+AK50*AL50,2))</f>
        <v>0</v>
      </c>
      <c r="AN49" s="1631">
        <f t="shared" ref="AN49" si="129">IF(AJ49=0,0,IF(CO49=1,CN49/($CP$4*W49),CN49))</f>
        <v>0</v>
      </c>
      <c r="AO49" s="1635" t="str">
        <f t="shared" ref="AO49" si="130">IF(AN49=0,"",IF(AN49&lt;=1,"OK!","NO!"))</f>
        <v/>
      </c>
      <c r="AP49" s="186">
        <f>+IF(I49=0,0,"1/")</f>
        <v>0</v>
      </c>
      <c r="AQ49" s="187">
        <f>IF(I49=0,0,+DN49)</f>
        <v>0</v>
      </c>
      <c r="AR49" s="23"/>
      <c r="AS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1313">
        <f>IF(AND(U49=0,X49=0),0,IF(U49&gt;0,AB$196/100*$CP$4*W49,ROUND(POWER(X49*Y49,2)/(K49/10*M49/10),2)))</f>
        <v>0</v>
      </c>
      <c r="CN49" s="1304" t="str">
        <f>IF($AJ49=0,"",IF($EC49&gt;=$EE49,$EC49+FN50,$EE49+FN50))</f>
        <v/>
      </c>
      <c r="CO49" s="552">
        <f>IF(P49=0,0,+VALUE(RIGHT(P49,4)))</f>
        <v>0</v>
      </c>
      <c r="CP49" s="91" t="e">
        <f>ROUNDUP(CX49*I49*100/2/DL49,2)</f>
        <v>#N/A</v>
      </c>
      <c r="CQ49" s="91" t="e">
        <f>ROUNDUP(CY49*I49*100/2/DM49,2)</f>
        <v>#N/A</v>
      </c>
      <c r="CR49" s="91" t="e">
        <f t="shared" ref="CR49:CR50" si="131">IF(CP49&gt;=CQ49,CP49,CQ49)</f>
        <v>#N/A</v>
      </c>
      <c r="CS49" s="9">
        <f t="shared" ref="CS49" si="132">IF(M49=0,0,ROUNDUP(SQRT((AA49*K49/10*M49/10)/(X49*X49)),2))</f>
        <v>0</v>
      </c>
      <c r="CT49" s="94"/>
      <c r="CU49" s="95"/>
      <c r="CV49" s="87">
        <f>ROUNDUP(IF(VALUE(RIGHT($G$3,4))=1,$I$3*30*F51*100,$I$3*20*F51*100),0)</f>
        <v>0</v>
      </c>
      <c r="CW49" s="87"/>
      <c r="CX49" s="87" t="e">
        <f>ROUNDUP((準備!$F$60/100+準備!$C$48/100)*($G49+$H49)/2,2)</f>
        <v>#N/A</v>
      </c>
      <c r="CY49" s="87" t="e">
        <f>ROUNDUP((準備!$F$60/100+準備!$E$48/100)*($G49+$H49)/2,2)</f>
        <v>#N/A</v>
      </c>
      <c r="CZ49" s="87" t="e">
        <f>ROUNDUP(($CX49*POWER($I49*100,2)/8+FJ50)/$DF49,1)</f>
        <v>#N/A</v>
      </c>
      <c r="DA49" s="87" t="e">
        <f>ROUNDUP(5*$DW49*POWER($I49*100,4)/(384*VLOOKUP(VALUE(RIGHT($J49,4)),許容応力!$B$6:$K$22,10)*100*$DG49),2)+FN50</f>
        <v>#N/A</v>
      </c>
      <c r="DB49" s="87" t="e">
        <f>ROUND((CX49*I49*100/2)/Z49,1)</f>
        <v>#N/A</v>
      </c>
      <c r="DC49" s="87" t="e">
        <f>ROUNDUP(($CY49*POWER($I49*100,2)/8+FJ50)/$DF49,1)</f>
        <v>#N/A</v>
      </c>
      <c r="DD49" s="87" t="e">
        <f>ROUNDUP(5*$CY49*POWER($I49*100,4)/(384*VLOOKUP(VALUE(RIGHT($J49,4)),許容応力!$B$6:$K$22,10)*100*$DG49),2)+FQ50</f>
        <v>#N/A</v>
      </c>
      <c r="DE49" s="87" t="e">
        <f>ROUND((CY49*I49*100/2)/Z49,1)</f>
        <v>#N/A</v>
      </c>
      <c r="DF49" s="87">
        <f>ROUNDDOWN($K49/10*POWER($M49/10,2)/6*IF(OR($AB49=0,$AB49=1),1,$AB49),0)</f>
        <v>0</v>
      </c>
      <c r="DG49" s="87">
        <f>ROUNDDOWN($K49/10*POWER($M49/10,3)/12*IF(OR($AB49=0,$AB49=1),1,$AB49),0)</f>
        <v>0</v>
      </c>
      <c r="DH49" s="88" t="e">
        <f>VLOOKUP(DQ49,許容応力!$B$6:$K$22,7)*1.1/3*100</f>
        <v>#VALUE!</v>
      </c>
      <c r="DI49" s="87" t="e">
        <f>ROUND(VLOOKUP(DQ49,許容応力!$B$6:$K$22,7)*100*2/3*0.8,0)</f>
        <v>#VALUE!</v>
      </c>
      <c r="DJ49" s="10" t="e">
        <f>IF($DN$6=2,ROUND(VLOOKUP(DQ49,許容応力!$B$6:$K$22,8)*1.1/3*100,0),ROUND(VLOOKUP(DQ49,許容応力!$B$6:$K$22,8)*1.1/3*1.3*100,0))</f>
        <v>#VALUE!</v>
      </c>
      <c r="DK49" s="87" t="e">
        <f>ROUND(VLOOKUP(DQ49,許容応力!$B$6:$K$22,8)*100*2/3*0.8,0)</f>
        <v>#VALUE!</v>
      </c>
      <c r="DL49" s="10" t="e">
        <f>IF($DN$6=2,ROUND(VLOOKUP(DQ49,許容応力!$B$6:$K$22,9)*1.1/3*100,0),ROUND(VLOOKUP(DQ49,許容応力!$B$6:$K$22,9)*1.1/3*1.3*100,0))</f>
        <v>#VALUE!</v>
      </c>
      <c r="DM49" s="87" t="e">
        <f>ROUND(VLOOKUP(DQ49,許容応力!$B$6:$K$22,9)*100*2/3*0.8,0)</f>
        <v>#VALUE!</v>
      </c>
      <c r="DN49" s="63">
        <v>600</v>
      </c>
      <c r="DO49" s="87">
        <f>ROUND(I49*100/DN49,2)</f>
        <v>0</v>
      </c>
      <c r="DP49" s="87"/>
      <c r="DQ49" s="87" t="e">
        <f>+VALUE(RIGHT(J49,3))</f>
        <v>#VALUE!</v>
      </c>
      <c r="DR49" s="89" t="e">
        <f>ROUND(ATAN(D51/10)*180/PI(),4)</f>
        <v>#VALUE!</v>
      </c>
      <c r="DS49" s="90" t="e">
        <f t="shared" ref="DS49:DS50" si="133">ROUND(COS(DR49*PI()/180),3)</f>
        <v>#VALUE!</v>
      </c>
      <c r="DT49" s="87">
        <f>VLOOKUP(VALUE(RIGHT(C49,4)),$C$632:$F$641,4)</f>
        <v>225</v>
      </c>
      <c r="DU49" s="87">
        <f>ROUND(I49*100/DT49,2)</f>
        <v>0</v>
      </c>
      <c r="DV49" s="87"/>
      <c r="DW49" s="87" t="e">
        <f>ROUNDUP((準備!$F$60/100+準備!$E$48/100)*($G49+$H49)/2,2)</f>
        <v>#N/A</v>
      </c>
      <c r="DX49" s="87" t="e">
        <f>ROUNDUP((準備!$F$60/100+準備!$E$48/100)*($G49+$H49)/2,2)</f>
        <v>#N/A</v>
      </c>
      <c r="DY49" s="87"/>
      <c r="DZ49" s="87"/>
      <c r="EA49" s="87"/>
      <c r="EB49" s="87" t="e">
        <f>ROUND(CX49*I49*100/2/AM49,1)</f>
        <v>#N/A</v>
      </c>
      <c r="EC49" s="87" t="e">
        <f t="shared" ref="EC49:EC50" si="134">ROUND(EB49/DL49,2)</f>
        <v>#N/A</v>
      </c>
      <c r="ED49" s="87" t="e">
        <f>ROUND(CY49*I49*100/2/AM49,1)</f>
        <v>#N/A</v>
      </c>
      <c r="EE49" s="87" t="e">
        <f t="shared" ref="EE49:EE50" si="135">ROUND(ED49/DM49,2)</f>
        <v>#N/A</v>
      </c>
      <c r="EF49" s="87"/>
      <c r="EG49" s="87">
        <f>IF(F51=0,0,+VALUE(RIGHT(F51,4)))</f>
        <v>0</v>
      </c>
      <c r="EH49" s="3">
        <f>+IF(EG49=1,HLOOKUP(EG50,FB50:FG51,2),0)</f>
        <v>0</v>
      </c>
      <c r="EI49" s="87" t="str">
        <f>IF(M49=0,"",ROUND(CX49*I49*100/2/DJ49,2))</f>
        <v/>
      </c>
      <c r="EJ49" s="87" t="str">
        <f>IF(M49=0,"",ROUND(CY49*I49*100/2/DK49,2))</f>
        <v/>
      </c>
      <c r="EK49" s="87"/>
      <c r="EL49" s="63" t="e">
        <f>ROUNDUP(ER49/3,-1)*3</f>
        <v>#N/A</v>
      </c>
      <c r="EM49" s="63" t="e">
        <f>ROUNDUP(ES49/3,-1)*3</f>
        <v>#N/A</v>
      </c>
      <c r="EO49" s="63" t="e">
        <f>ROUNDUP(EU49/3,-1)*3</f>
        <v>#N/A</v>
      </c>
      <c r="EP49" s="63" t="e">
        <f>ROUNDUP(EV49/3,-1)*3</f>
        <v>#N/A</v>
      </c>
      <c r="EQ49" s="155" t="e">
        <f t="shared" ref="EQ49:EQ50" si="136">+MAX(EL49:EP49)</f>
        <v>#N/A</v>
      </c>
      <c r="ER49" s="87" t="e">
        <f>ROUNDUP(SQRT(EW49/($K49/10)*6/IF(OR($AB49=0,$AB49=1),1,$AB49)),0)*10</f>
        <v>#N/A</v>
      </c>
      <c r="ES49" s="87" t="e">
        <f>POWER(ROUNDUP(EX49/($K49/10)*12/IF(OR($AB49=0,$AB49=1),1,$AB49),0),1/3)*10</f>
        <v>#N/A</v>
      </c>
      <c r="EU49" s="87" t="e">
        <f>ROUNDUP(SQRT(EZ49/($K49/10)*6/IF(OR($AB49=0,$AB49=1),1,$AB49))*10,0)</f>
        <v>#N/A</v>
      </c>
      <c r="EV49" s="87" t="e">
        <f>POWER(ROUNDUP(FA49/($K49/10)*12/IF(OR($AB49=0,$AB49=1),1,$AB49),0),1/3)*10</f>
        <v>#N/A</v>
      </c>
      <c r="EW49" s="87" t="e">
        <f>ROUNDUP(($CX49*POWER($I49*100,2)/8+FJ50)/$DH49,1)</f>
        <v>#N/A</v>
      </c>
      <c r="EX49" s="87" t="e">
        <f>ROUNDUP(5*$DW49*POWER($I49*100,4)/(384*VLOOKUP(VALUE(RIGHT($J49,4)),許容応力!$B$6:$K$22,10)*100*$DO49),2)+GB50</f>
        <v>#N/A</v>
      </c>
      <c r="EY49" s="87"/>
      <c r="EZ49" s="87" t="e">
        <f>ROUNDUP(($CY49*POWER($I49*100,2)/8+FJ50)/$DI49,1)</f>
        <v>#N/A</v>
      </c>
      <c r="FA49" s="87" t="e">
        <f>ROUNDUP(5*$CY49*POWER($I49*100,4)/(384*VLOOKUP(VALUE(RIGHT($J49,4)),許容応力!$B$6:$K$22,10)*100*$DU49),2)+GE50</f>
        <v>#N/A</v>
      </c>
      <c r="FB49" s="410" t="s">
        <v>1005</v>
      </c>
      <c r="FC49" s="3" t="s">
        <v>1007</v>
      </c>
      <c r="FD49" s="3" t="s">
        <v>1008</v>
      </c>
      <c r="FE49" s="3" t="s">
        <v>1009</v>
      </c>
      <c r="FF49" s="3" t="s">
        <v>1010</v>
      </c>
      <c r="FG49" s="410" t="s">
        <v>1006</v>
      </c>
      <c r="FH49" s="410" t="s">
        <v>1016</v>
      </c>
      <c r="FI49" s="3" t="s">
        <v>1249</v>
      </c>
      <c r="FK49" s="3" t="s">
        <v>189</v>
      </c>
      <c r="FL49" s="3" t="s">
        <v>1253</v>
      </c>
      <c r="FM49" s="412" t="s">
        <v>1013</v>
      </c>
      <c r="FN49" s="349" t="s">
        <v>1014</v>
      </c>
      <c r="FO49" s="412" t="s">
        <v>1015</v>
      </c>
      <c r="FP49" s="412" t="s">
        <v>1013</v>
      </c>
      <c r="FQ49" s="349" t="s">
        <v>1014</v>
      </c>
      <c r="FR49" s="412" t="s">
        <v>1015</v>
      </c>
      <c r="FS49" s="3" t="s">
        <v>1223</v>
      </c>
      <c r="FT49" s="3" t="s">
        <v>1224</v>
      </c>
      <c r="FU49" s="412" t="s">
        <v>1065</v>
      </c>
      <c r="FV49" s="349" t="s">
        <v>1066</v>
      </c>
      <c r="FW49" s="412" t="s">
        <v>1067</v>
      </c>
      <c r="FX49" s="412" t="s">
        <v>1065</v>
      </c>
      <c r="FY49" s="349" t="s">
        <v>1066</v>
      </c>
      <c r="FZ49" s="412" t="s">
        <v>1067</v>
      </c>
    </row>
    <row r="50" spans="2:187" ht="15.95" customHeight="1" x14ac:dyDescent="0.15">
      <c r="B50" s="1588"/>
      <c r="C50" s="1639"/>
      <c r="D50" s="831"/>
      <c r="E50" s="1578"/>
      <c r="F50" s="1578"/>
      <c r="G50" s="1564"/>
      <c r="H50" s="1564"/>
      <c r="I50" s="1564"/>
      <c r="J50" s="1566"/>
      <c r="K50" s="1567">
        <f>+IF(J49=0,0,"丸太末口 φ")</f>
        <v>0</v>
      </c>
      <c r="L50" s="1568"/>
      <c r="M50" s="832">
        <f>IF(J49=0,0,+EQ50)</f>
        <v>0</v>
      </c>
      <c r="N50" s="833" t="str">
        <f t="shared" si="123"/>
        <v/>
      </c>
      <c r="O50" s="1571"/>
      <c r="P50" s="1477"/>
      <c r="Q50" s="1489"/>
      <c r="R50" s="1489"/>
      <c r="S50" s="1576"/>
      <c r="T50" s="1489"/>
      <c r="U50" s="1489"/>
      <c r="V50" s="1022" t="str">
        <f>+AB$184</f>
        <v/>
      </c>
      <c r="W50" s="1578"/>
      <c r="X50" s="1487"/>
      <c r="Y50" s="1469"/>
      <c r="Z50" s="1485"/>
      <c r="AA50" s="1467"/>
      <c r="AB50" s="1124"/>
      <c r="AC50" s="834" t="str">
        <f t="shared" si="125"/>
        <v/>
      </c>
      <c r="AD50" s="834" t="str">
        <f t="shared" si="126"/>
        <v/>
      </c>
      <c r="AE50" s="1467"/>
      <c r="AF50" s="834" t="str">
        <f t="shared" si="127"/>
        <v/>
      </c>
      <c r="AG50" s="834" t="str">
        <f t="shared" si="128"/>
        <v/>
      </c>
      <c r="AH50" s="1474"/>
      <c r="AI50" s="835"/>
      <c r="AJ50" s="836"/>
      <c r="AK50" s="837"/>
      <c r="AL50" s="838"/>
      <c r="AM50" s="1469"/>
      <c r="AN50" s="1632"/>
      <c r="AO50" s="1636"/>
      <c r="AP50" s="839">
        <f>+IF(I49=0,0,"1/")</f>
        <v>0</v>
      </c>
      <c r="AQ50" s="840">
        <f>IF(I49=0,0,+DN50)</f>
        <v>0</v>
      </c>
      <c r="AR50" s="23"/>
      <c r="AS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1312"/>
      <c r="CN50" s="1301"/>
      <c r="CO50" s="548"/>
      <c r="CP50" s="9" t="e">
        <f>ROUNDUP(CX50*I49*100/2/DL50,2)</f>
        <v>#N/A</v>
      </c>
      <c r="CQ50" s="9" t="e">
        <f>ROUNDUP(CY50*I49*100/2/DM50,2)</f>
        <v>#N/A</v>
      </c>
      <c r="CR50" s="9" t="e">
        <f t="shared" si="131"/>
        <v>#N/A</v>
      </c>
      <c r="CS50" s="9">
        <f t="shared" ref="CS50" si="137">IF(M50=0,0,ROUNDUP(SQRT(AA50*(M50/10-6)*(M50/10-3))/(X50*X50),2))</f>
        <v>0</v>
      </c>
      <c r="CT50" s="58"/>
      <c r="CU50" s="78"/>
      <c r="CV50" s="78">
        <f>ROUNDUP(IF(VALUE(RIGHT($G$3,4))=1,$I$3*30*F51*100,$I$3*20*F51*100),0)</f>
        <v>0</v>
      </c>
      <c r="CW50" s="78"/>
      <c r="CX50" s="78" t="e">
        <f>ROUNDUP((準備!$F$60/100+準備!$C$48/100)*($G49+$H49)/2,2)</f>
        <v>#N/A</v>
      </c>
      <c r="CY50" s="78" t="e">
        <f>ROUNDUP((準備!$F$60/100+準備!$E$48/100)*($G49+$H49)/2,2)</f>
        <v>#N/A</v>
      </c>
      <c r="CZ50" s="78">
        <f>IF(K50=0,0,ROUNDUP(($CX50*POWER($I49*100,2)/8+FJ50)/$DF50,1))</f>
        <v>0</v>
      </c>
      <c r="DA50" s="63" t="e">
        <f>ROUNDUP(5*$CY50*POWER($I49*100,4)/(384*VLOOKUP(VALUE(RIGHT($J49,4)),許容応力!$L$6:$U$22,10)*100*$DG50),2)+FQ50</f>
        <v>#N/A</v>
      </c>
      <c r="DB50" s="78" t="e">
        <f>ROUND((CX50*I49*100/2)/Z49,1)</f>
        <v>#N/A</v>
      </c>
      <c r="DC50" s="78" t="e">
        <f>ROUNDUP(($CY50*POWER($I49*100,2)/8+FJ50)/$DF50,1)</f>
        <v>#N/A</v>
      </c>
      <c r="DD50" s="63" t="e">
        <f>ROUNDUP(5*$CY50*POWER($I49*100,4)/(384*VLOOKUP(VALUE(RIGHT($J49,4)),許容応力!$L$6:$U$22,10)*100*$DG50),2)+FQ50</f>
        <v>#N/A</v>
      </c>
      <c r="DE50" s="78" t="e">
        <f>ROUND((CY50*I49*100/2)/Z49,1)</f>
        <v>#N/A</v>
      </c>
      <c r="DF50" s="63">
        <f>IF(M50&lt;180,ROUND((M50/10-3)*POWER(M50/10-3,2)/6*IF(AB50=0,1,AB50),0),ROUND((M50/10-5)*POWER(M50/10-3,2)/6*IF($AB50=0,1,$AB50),0))</f>
        <v>-5</v>
      </c>
      <c r="DG50" s="63">
        <f>ROUND(IF(M50&lt;180,(M50/10-3)*POWER((M50/10-3),3)/12*IF(AB50=0,1,AB50),(M50/10-4))*POWER((M50/10-3),3)/12*IF(AB50=0,1,AB50),0)</f>
        <v>-15</v>
      </c>
      <c r="DH50" s="10" t="e">
        <f>IF($DN$6=2,ROUND(VLOOKUP(DQ50,許容応力!$L$6:$U$22,7)*1.1/3*100,0),ROUND(VLOOKUP(DQ50,許容応力!$L$6:$U$22,7)*1.1/3*1.3*100,0))</f>
        <v>#VALUE!</v>
      </c>
      <c r="DI50" s="63" t="e">
        <f>ROUND(VLOOKUP(DQ50,許容応力!$L$6:$U$22,7)*100*2/3*0.8,0)</f>
        <v>#VALUE!</v>
      </c>
      <c r="DJ50" s="10" t="e">
        <f>IF($DN$6=2,ROUND(VLOOKUP(DQ50,許容応力!$L$6:$U$22,8)*1.1/3*100,0),ROUND(VLOOKUP(DQ50,許容応力!$L$6:$U$22,8)*1.1/3*1.3*100,0))</f>
        <v>#VALUE!</v>
      </c>
      <c r="DK50" s="63" t="e">
        <f>ROUND(VLOOKUP(DQ50,許容応力!$L$6:$U$22,8)*100*2/3*0.8,0)</f>
        <v>#VALUE!</v>
      </c>
      <c r="DL50" s="10" t="e">
        <f>IF($DN$6=2,ROUND(VLOOKUP(DQ50,許容応力!$L$6:$U$22,9)*1.1/3*100,0),ROUND(VLOOKUP(DQ50,許容応力!$L$6:$U$22,9)*1.1/3*1.3*100,0))</f>
        <v>#VALUE!</v>
      </c>
      <c r="DM50" s="63" t="e">
        <f>ROUND(VLOOKUP(DQ50,許容応力!$L$6:$U$22,9)*100*2/3*0.8,0)</f>
        <v>#VALUE!</v>
      </c>
      <c r="DN50" s="63">
        <v>600</v>
      </c>
      <c r="DO50" s="78">
        <f>ROUND(I49*100/DN50,2)</f>
        <v>0</v>
      </c>
      <c r="DP50" s="78"/>
      <c r="DQ50" s="78" t="e">
        <f>+VALUE(RIGHT(J49,3))</f>
        <v>#VALUE!</v>
      </c>
      <c r="DR50" s="92" t="e">
        <f>ROUND(ATAN(D51/10)*180/PI(),4)</f>
        <v>#VALUE!</v>
      </c>
      <c r="DS50" s="80" t="e">
        <f t="shared" si="133"/>
        <v>#VALUE!</v>
      </c>
      <c r="DT50" s="78">
        <f>VLOOKUP(VALUE(RIGHT(C49,4)),$C$632:$F$641,4)</f>
        <v>225</v>
      </c>
      <c r="DU50" s="78">
        <f>ROUND(I49*100/DT50,2)</f>
        <v>0</v>
      </c>
      <c r="DV50" s="78"/>
      <c r="DW50" s="78" t="e">
        <f>ROUNDUP((準備!$F$60/100+準備!$E$48/100)*($G49+$H49)/2,2)</f>
        <v>#N/A</v>
      </c>
      <c r="DX50" s="78" t="e">
        <f>ROUNDUP((準備!$F$60/100+準備!$E$48/100)*($G49+$H49)/2,2)</f>
        <v>#N/A</v>
      </c>
      <c r="DY50" s="71">
        <f>IF(I49&lt;6,POWER(M50/10,2)*I49/10000,POWER((M50/10+(ROUNDDOWN(I49,0)-4)/2),2)*I49/10000)</f>
        <v>0</v>
      </c>
      <c r="DZ50" s="78">
        <v>200</v>
      </c>
      <c r="EA50" s="93">
        <f>ROUND(DY50*DZ50/100,0)</f>
        <v>0</v>
      </c>
      <c r="EB50" s="78" t="e">
        <f>ROUND((CX50*I49*100/2+EA50)/AM50,1)</f>
        <v>#N/A</v>
      </c>
      <c r="EC50" s="78" t="e">
        <f t="shared" si="134"/>
        <v>#N/A</v>
      </c>
      <c r="ED50" s="78" t="e">
        <f>ROUND((CY50*I49*100/2+EA50)/AM50,1)</f>
        <v>#N/A</v>
      </c>
      <c r="EE50" s="78" t="e">
        <f t="shared" si="135"/>
        <v>#N/A</v>
      </c>
      <c r="EF50" s="78"/>
      <c r="EG50" s="78" t="e">
        <f>+VALUE(RIGHT(H51,4))</f>
        <v>#VALUE!</v>
      </c>
      <c r="EH50" s="78"/>
      <c r="EI50" s="78" t="str">
        <f>IF(M50=0,"",ROUND(CX50*I49*100/2/DJ50,2))</f>
        <v/>
      </c>
      <c r="EJ50" s="78" t="str">
        <f>IF(M50=0,"",ROUND(CY50*I49*100/2/DK50,2))</f>
        <v/>
      </c>
      <c r="EK50" s="78"/>
      <c r="EL50" s="63" t="e">
        <f>IF(AB50=0.8,VLOOKUP(ER50,$CR$395:$CS$439,2),IF(AB50=0.9,VLOOKUP(ER50,$CR$348:$CS$394,2),VLOOKUP(ER50,$CR$301:$CS$344,2)))</f>
        <v>#N/A</v>
      </c>
      <c r="EM50" s="63" t="e">
        <f>IF(AB50=0.8,VLOOKUP(ES50,$CT$395:$CU$439,2),IF(AB50=0.9,VLOOKUP(ES50,$CT$348:$CU$394,2),VLOOKUP(ES50,$CT$301:$CU$344,2)))</f>
        <v>#N/A</v>
      </c>
      <c r="EO50" s="63" t="e">
        <f>IF(AB50=0.8,VLOOKUP(EU50,$CR$395:$CS$439,2),IF(AB50=0.9,VLOOKUP(EU50,$CR$348:$CS$394,2),VLOOKUP(EU50,$CR$301:$CS$344,2)))</f>
        <v>#N/A</v>
      </c>
      <c r="EP50" s="63" t="e">
        <f>IF(AB50=0.8,VLOOKUP(EV50,$CT$395:$CU$439,2),IF(AB50=0.9,VLOOKUP(EV50,$CT$348:$CU$394,2),VLOOKUP(EV50,$CT$301:$CU$344,2)))</f>
        <v>#N/A</v>
      </c>
      <c r="EQ50" s="155" t="e">
        <f t="shared" si="136"/>
        <v>#N/A</v>
      </c>
      <c r="ER50" s="78" t="e">
        <f>ROUNDUP(($CX50*POWER($I49*100,2)/8+FJ50)/$DH50,1)</f>
        <v>#N/A</v>
      </c>
      <c r="ES50" s="78" t="e">
        <f>ROUNDUP(5*$DW50*POWER($I49*100,4)/(384*VLOOKUP(VALUE(RIGHT($J49,4)),許容応力!$B$6:$K$22,10)*100*$DO50),2)+GB50</f>
        <v>#N/A</v>
      </c>
      <c r="ET50" s="78"/>
      <c r="EU50" s="78" t="e">
        <f>ROUNDUP(($CY50*POWER($I49*100,2)/8+FJ50)/$DI50,1)</f>
        <v>#N/A</v>
      </c>
      <c r="EV50" s="78" t="e">
        <f>ROUNDUP(5*$CY50*POWER($I49*100,4)/(384*VLOOKUP(VALUE(RIGHT($J49,4)),許容応力!$B$6:$K$22,10)*100*$DU50),2)+GE50</f>
        <v>#N/A</v>
      </c>
      <c r="EW50" s="78"/>
      <c r="EX50" s="78"/>
      <c r="EY50" s="78"/>
      <c r="EZ50" s="78"/>
      <c r="FA50" s="78"/>
      <c r="FB50" s="3">
        <v>1</v>
      </c>
      <c r="FC50" s="3">
        <v>2</v>
      </c>
      <c r="FD50" s="3">
        <v>3</v>
      </c>
      <c r="FE50" s="3">
        <v>4</v>
      </c>
      <c r="FF50" s="3">
        <v>5</v>
      </c>
      <c r="FG50" s="3">
        <v>6</v>
      </c>
      <c r="FI50" s="3" t="s">
        <v>1019</v>
      </c>
      <c r="FJ50" s="63">
        <f>IF(F51=0,0,ROUND(EH49*POWER(I49*100,2)/8,2))</f>
        <v>0</v>
      </c>
      <c r="FK50" s="3">
        <f>IF(F51=0,0,ROUND(5*EH49*POWER(I49*100,4)/(384*FL50),2))</f>
        <v>0</v>
      </c>
      <c r="FL50" s="642">
        <f>IF(F51=0,0,+VLOOKUP(VALUE(RIGHT(J49,4)),許容応力!$B$6:$K$22,10)*100)</f>
        <v>0</v>
      </c>
      <c r="FM50" s="3">
        <f>IF(F51=0,0,ROUND((FJ50)/DF49,1))</f>
        <v>0</v>
      </c>
      <c r="FN50" s="3">
        <f>IF(F51=0,0,ROUND(FK50/DG49,2))</f>
        <v>0</v>
      </c>
      <c r="FO50" s="3">
        <f>IF(F51=0,0,ROUND(FJ51/Z49,1))</f>
        <v>0</v>
      </c>
      <c r="FP50" s="3">
        <f>+FM50</f>
        <v>0</v>
      </c>
      <c r="FQ50" s="3">
        <f>+FN50</f>
        <v>0</v>
      </c>
      <c r="FR50" s="3">
        <f>+FO50</f>
        <v>0</v>
      </c>
      <c r="FS50" s="3">
        <f>IF(F51=0,0,ROUND(VLOOKUP(VALUE(RIGHT(J49,4)),許容応力!$B$6:$K$22,9)*1.1/3*100,0))</f>
        <v>0</v>
      </c>
      <c r="FT50" s="3">
        <f>IF(F51=0,0,ROUND(VLOOKUP(VALUE(RIGHT($J49,4)),許容応力!$B$6:$K$22,9)*2/3*0.8*100,0))</f>
        <v>0</v>
      </c>
      <c r="FU50" s="3">
        <f>IF(F51=0,0,ROUND(FM50/CZ49,2))</f>
        <v>0</v>
      </c>
      <c r="FV50" s="3">
        <f>IF(F51=0,0,ROUND(FN50/DA49,2))</f>
        <v>0</v>
      </c>
      <c r="FW50" s="3">
        <f>IF(F51=0,0,ROUND(FO50/DB49,2))</f>
        <v>0</v>
      </c>
      <c r="FX50" s="3">
        <f>IF(F51=0,0,ROUND(FP50/DC49,2))</f>
        <v>0</v>
      </c>
      <c r="FY50" s="3">
        <f>IF(F51=0,0,ROUND(FQ50/DD49,2))</f>
        <v>0</v>
      </c>
      <c r="FZ50" s="3">
        <f>IF(F51=0,0,ROUND(FR50/DE49,2))</f>
        <v>0</v>
      </c>
      <c r="GA50" s="87">
        <f>IF(F51=0,0,ROUNDUP(EH49*POWER(I49*100,2)/8/DH49,1))</f>
        <v>0</v>
      </c>
      <c r="GB50" s="87">
        <f>IF(F51=0,0,ROUNDUP(5*EH49*POWER(I49*100,4)/(384*VLOOKUP(VALUE(RIGHT($J49,4)),許容応力!$B$6:$K$22,10)*100*$DO49),2))</f>
        <v>0</v>
      </c>
      <c r="GC50" s="87"/>
      <c r="GD50" s="87">
        <f>+GA50</f>
        <v>0</v>
      </c>
      <c r="GE50" s="87">
        <f>+GB50</f>
        <v>0</v>
      </c>
    </row>
    <row r="51" spans="2:187" ht="15.95" customHeight="1" thickBot="1" x14ac:dyDescent="0.2">
      <c r="B51" s="1588"/>
      <c r="C51" s="1258"/>
      <c r="D51" s="1580" t="s">
        <v>1248</v>
      </c>
      <c r="E51" s="1581"/>
      <c r="F51" s="1126"/>
      <c r="G51" s="280" t="s">
        <v>1250</v>
      </c>
      <c r="H51" s="1127"/>
      <c r="I51" s="841" t="s">
        <v>1252</v>
      </c>
      <c r="J51" s="1114"/>
      <c r="K51" s="842"/>
      <c r="L51" s="843"/>
      <c r="M51" s="841"/>
      <c r="N51" s="843"/>
      <c r="O51" s="875"/>
      <c r="P51" s="845"/>
      <c r="Q51" s="881"/>
      <c r="R51" s="881"/>
      <c r="S51" s="880"/>
      <c r="T51" s="881"/>
      <c r="U51" s="881"/>
      <c r="V51" s="843"/>
      <c r="W51" s="845"/>
      <c r="X51" s="855"/>
      <c r="Y51" s="847"/>
      <c r="Z51" s="874"/>
      <c r="AA51" s="845"/>
      <c r="AB51" s="1149"/>
      <c r="AC51" s="848"/>
      <c r="AD51" s="848"/>
      <c r="AE51" s="845"/>
      <c r="AF51" s="848"/>
      <c r="AG51" s="848"/>
      <c r="AH51" s="849"/>
      <c r="AI51" s="856"/>
      <c r="AJ51" s="857"/>
      <c r="AK51" s="858"/>
      <c r="AL51" s="859"/>
      <c r="AM51" s="847"/>
      <c r="AN51" s="847"/>
      <c r="AO51" s="854"/>
      <c r="AP51" s="184"/>
      <c r="AQ51" s="185"/>
      <c r="AR51" s="23"/>
      <c r="AS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830"/>
      <c r="CO51" s="548"/>
      <c r="CP51" s="9"/>
      <c r="CQ51" s="9"/>
      <c r="CR51" s="9"/>
      <c r="CS51" s="9"/>
      <c r="CT51" s="58"/>
      <c r="CU51" s="78"/>
      <c r="CV51" s="78"/>
      <c r="CW51" s="78"/>
      <c r="CX51" s="78"/>
      <c r="CY51" s="78"/>
      <c r="CZ51" s="78"/>
      <c r="DA51" s="63"/>
      <c r="DB51" s="78"/>
      <c r="DC51" s="78"/>
      <c r="DD51" s="63"/>
      <c r="DE51" s="78"/>
      <c r="DF51" s="63"/>
      <c r="DG51" s="63"/>
      <c r="DH51" s="10"/>
      <c r="DI51" s="63"/>
      <c r="DJ51" s="10"/>
      <c r="DK51" s="63"/>
      <c r="DL51" s="10"/>
      <c r="DM51" s="63"/>
      <c r="DN51" s="63"/>
      <c r="DO51" s="78"/>
      <c r="DP51" s="78"/>
      <c r="DQ51" s="78"/>
      <c r="DR51" s="92"/>
      <c r="DS51" s="80"/>
      <c r="DT51" s="78"/>
      <c r="DU51" s="78"/>
      <c r="DV51" s="78"/>
      <c r="DW51" s="78"/>
      <c r="DX51" s="78"/>
      <c r="DY51" s="71"/>
      <c r="DZ51" s="78"/>
      <c r="EA51" s="93"/>
      <c r="EB51" s="78"/>
      <c r="EC51" s="78"/>
      <c r="ED51" s="78"/>
      <c r="EE51" s="78"/>
      <c r="EF51" s="78"/>
      <c r="EG51" s="78"/>
      <c r="EH51" s="78"/>
      <c r="EI51" s="78"/>
      <c r="EJ51" s="78"/>
      <c r="EK51" s="78"/>
      <c r="EL51" s="63"/>
      <c r="EM51" s="63"/>
      <c r="EO51" s="63"/>
      <c r="EP51" s="63"/>
      <c r="EQ51" s="155"/>
      <c r="ER51" s="78"/>
      <c r="ES51" s="78"/>
      <c r="ET51" s="78"/>
      <c r="EU51" s="78"/>
      <c r="EV51" s="78"/>
      <c r="EW51" s="78"/>
      <c r="EX51" s="78"/>
      <c r="EY51" s="78"/>
      <c r="EZ51" s="78"/>
      <c r="FA51" s="78"/>
      <c r="FB51" s="128">
        <f>+準備!$G$20/100*J51</f>
        <v>0</v>
      </c>
      <c r="FC51" s="128">
        <f>+準備!$G$24/100*J51</f>
        <v>0</v>
      </c>
      <c r="FD51" s="128">
        <f>+準備!$G$28/100*J51</f>
        <v>0</v>
      </c>
      <c r="FE51" s="128">
        <f>+準備!$G$32/100*J51</f>
        <v>0</v>
      </c>
      <c r="FF51" s="128">
        <f>+準備!$G$36/100*J51</f>
        <v>0</v>
      </c>
      <c r="FG51" s="128">
        <f>+準備!$G$38/100*J51</f>
        <v>0</v>
      </c>
      <c r="FI51" s="3" t="s">
        <v>1018</v>
      </c>
      <c r="FJ51" s="63">
        <f>IF(F51=0,0,ROUND(EH49*I49*100/2,2))</f>
        <v>0</v>
      </c>
      <c r="FK51" s="63"/>
      <c r="FM51" s="3">
        <f t="shared" ref="FM51:FR51" si="138">+FM50</f>
        <v>0</v>
      </c>
      <c r="FN51" s="3">
        <f t="shared" si="138"/>
        <v>0</v>
      </c>
      <c r="FO51" s="3">
        <f t="shared" si="138"/>
        <v>0</v>
      </c>
      <c r="FP51" s="3">
        <f t="shared" si="138"/>
        <v>0</v>
      </c>
      <c r="FQ51" s="3">
        <f t="shared" si="138"/>
        <v>0</v>
      </c>
      <c r="FR51" s="3">
        <f t="shared" si="138"/>
        <v>0</v>
      </c>
      <c r="FS51" s="3">
        <f>IF(F51=0,0,ROUND(EH49*I49*100/2/FS50/AM49,2))</f>
        <v>0</v>
      </c>
      <c r="FT51" s="3">
        <f>IF(F51=0,0,ROUND(EH49*I49*100/2/FT50/AM49,2))</f>
        <v>0</v>
      </c>
      <c r="FU51" s="3">
        <f t="shared" ref="FU51:FZ51" si="139">+FU50</f>
        <v>0</v>
      </c>
      <c r="FV51" s="3">
        <f t="shared" si="139"/>
        <v>0</v>
      </c>
      <c r="FW51" s="3">
        <f t="shared" si="139"/>
        <v>0</v>
      </c>
      <c r="FX51" s="3">
        <f t="shared" si="139"/>
        <v>0</v>
      </c>
      <c r="FY51" s="3">
        <f t="shared" si="139"/>
        <v>0</v>
      </c>
      <c r="FZ51" s="3">
        <f t="shared" si="139"/>
        <v>0</v>
      </c>
    </row>
    <row r="52" spans="2:187" ht="15.95" customHeight="1" x14ac:dyDescent="0.15">
      <c r="B52" s="1588"/>
      <c r="C52" s="1339" t="s">
        <v>821</v>
      </c>
      <c r="D52" s="331"/>
      <c r="E52" s="1576"/>
      <c r="F52" s="1577"/>
      <c r="G52" s="1563"/>
      <c r="H52" s="1563"/>
      <c r="I52" s="1563"/>
      <c r="J52" s="1565"/>
      <c r="K52" s="1117"/>
      <c r="L52" s="196">
        <f>+IF(K52=0,0,"×")</f>
        <v>0</v>
      </c>
      <c r="M52" s="241">
        <f>IF(K52=0,0,+EQ52)</f>
        <v>0</v>
      </c>
      <c r="N52" s="242" t="str">
        <f t="shared" ref="N52:N53" si="140">IF(AC52=+"","",IF(AND(AC52&lt;=1,AD52&lt;=1,AF52&lt;=1,AG52&lt;=1),"OK!","NO!"))</f>
        <v/>
      </c>
      <c r="O52" s="1520">
        <f>IF(Z52=0,0,IF(AND(U52=0,X52=0),0,IF(IF(AE52&gt;=AH52,AE52,AH52)&lt;=1,"OK!","NO!")))</f>
        <v>0</v>
      </c>
      <c r="P52" s="1476"/>
      <c r="Q52" s="1488"/>
      <c r="R52" s="1488"/>
      <c r="S52" s="1616">
        <f t="shared" ref="S52" si="141">+IF(R52=0,0,6)</f>
        <v>0</v>
      </c>
      <c r="T52" s="1488"/>
      <c r="U52" s="1488"/>
      <c r="V52" s="196" t="str">
        <f>+AC$185</f>
        <v/>
      </c>
      <c r="W52" s="1577">
        <f>IF(U52=0,0,+VLOOKUP(V52,$I$204:$J$209,2))</f>
        <v>0</v>
      </c>
      <c r="X52" s="1486"/>
      <c r="Y52" s="1468">
        <f>IF(X52=0,0,+CS52)</f>
        <v>0</v>
      </c>
      <c r="Z52" s="1313">
        <f>IF(AND(R52=0,X52=0),0,+IF(AND(VALUE(RIGHT(P52,4))=2,R52&gt;0),0,IF(AND(VALUE(RIGHT(P52,4))=1,X52&gt;0),0,CM52)))</f>
        <v>0</v>
      </c>
      <c r="AA52" s="1466">
        <f>IF(X52=0,0,IF(EI52&gt;=EJ52,EI52,EJ52))</f>
        <v>0</v>
      </c>
      <c r="AB52" s="1121"/>
      <c r="AC52" s="201" t="str">
        <f t="shared" ref="AC52:AC53" si="142">IF(M52=0,"",ROUNDUP(CZ52/DH52,2))</f>
        <v/>
      </c>
      <c r="AD52" s="201" t="str">
        <f t="shared" ref="AD52:AD53" si="143">IF(M52=0,"",ROUND(DA52/DO52,2))</f>
        <v/>
      </c>
      <c r="AE52" s="1466">
        <f>IF(G52=+"",0,IF(AND(U52=0,X52=0),0,IF(X52=0,ROUND(DB52/(DJ52*$CP$4*W52),2),ROUND(DB52/DJ52,2))))</f>
        <v>0</v>
      </c>
      <c r="AF52" s="201" t="str">
        <f t="shared" ref="AF52:AF53" si="144">IF(M52=0,"",ROUNDUP(DC52/DI52,2))</f>
        <v/>
      </c>
      <c r="AG52" s="201" t="str">
        <f t="shared" ref="AG52:AG53" si="145">IF(M52=0,"",ROUNDUP(DD52/DU52,2))</f>
        <v/>
      </c>
      <c r="AH52" s="1466">
        <f>IF(G52=+"",0,IF(AND(U52=0,X52=0),0,IF(X52=0,ROUND(DE52/(DK52*$CP$4*W52),2),ROUND(DE52/DK52,2))))</f>
        <v>0</v>
      </c>
      <c r="AI52" s="818"/>
      <c r="AJ52" s="811"/>
      <c r="AK52" s="823"/>
      <c r="AL52" s="812"/>
      <c r="AM52" s="1631">
        <f>IF(AI52=0,0,ROUND(AI52*AJ52+AK52*AL52+AI53*AJ53+AK53*AL53,2))</f>
        <v>0</v>
      </c>
      <c r="AN52" s="1631">
        <f t="shared" ref="AN52" si="146">IF(AJ52=0,0,IF(CO52=1,CN52/($CP$4*W52),CN52))</f>
        <v>0</v>
      </c>
      <c r="AO52" s="1635" t="str">
        <f t="shared" ref="AO52" si="147">IF(AN52=0,"",IF(AN52&lt;=1,"OK!","NO!"))</f>
        <v/>
      </c>
      <c r="AP52" s="186">
        <f>+IF(I52=0,0,"1/")</f>
        <v>0</v>
      </c>
      <c r="AQ52" s="187">
        <f>IF(I52=0,0,+DN52)</f>
        <v>0</v>
      </c>
      <c r="AR52" s="23"/>
      <c r="AS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1313">
        <f>IF(AND(U52=0,X52=0),0,IF(U52&gt;0,AC$196/100*$CP$4*W52,ROUND(POWER(X52*Y52,2)/(K52/10*M52/10),2)))</f>
        <v>0</v>
      </c>
      <c r="CN52" s="1304" t="str">
        <f>IF($AJ52=0,"",IF($EC52&gt;=$EE52,$EC52+FN53,$EE52+FN53))</f>
        <v/>
      </c>
      <c r="CO52" s="552">
        <f>IF(P52=0,0,+VALUE(RIGHT(P52,4)))</f>
        <v>0</v>
      </c>
      <c r="CP52" s="91" t="e">
        <f>ROUNDUP(CX52*I52*100/2/DL52,2)</f>
        <v>#N/A</v>
      </c>
      <c r="CQ52" s="91" t="e">
        <f>ROUNDUP(CY52*I52*100/2/DM52,2)</f>
        <v>#N/A</v>
      </c>
      <c r="CR52" s="91" t="e">
        <f t="shared" ref="CR52:CR53" si="148">IF(CP52&gt;=CQ52,CP52,CQ52)</f>
        <v>#N/A</v>
      </c>
      <c r="CS52" s="9">
        <f t="shared" ref="CS52" si="149">IF(M52=0,0,ROUNDUP(SQRT((AA52*K52/10*M52/10)/(X52*X52)),2))</f>
        <v>0</v>
      </c>
      <c r="CT52" s="94"/>
      <c r="CU52" s="95"/>
      <c r="CV52" s="87">
        <f>ROUNDUP(IF(VALUE(RIGHT($G$3,4))=1,$I$3*30*F54*100,$I$3*20*F54*100),0)</f>
        <v>0</v>
      </c>
      <c r="CW52" s="87"/>
      <c r="CX52" s="87" t="e">
        <f>ROUNDUP((準備!$F$60/100+準備!$C$48/100)*($G52+$H52)/2,2)</f>
        <v>#N/A</v>
      </c>
      <c r="CY52" s="87" t="e">
        <f>ROUNDUP((準備!$F$60/100+準備!$E$48/100)*($G52+$H52)/2,2)</f>
        <v>#N/A</v>
      </c>
      <c r="CZ52" s="87" t="e">
        <f>ROUNDUP(($CX52*POWER($I52*100,2)/8+FJ53)/$DF52,1)</f>
        <v>#N/A</v>
      </c>
      <c r="DA52" s="87" t="e">
        <f>ROUNDUP(5*$DW52*POWER($I52*100,4)/(384*VLOOKUP(VALUE(RIGHT($J52,4)),許容応力!$B$6:$K$22,10)*100*$DG52),2)+FN53</f>
        <v>#N/A</v>
      </c>
      <c r="DB52" s="87" t="e">
        <f>ROUND((CX52*I52*100/2)/Z52,1)</f>
        <v>#N/A</v>
      </c>
      <c r="DC52" s="87" t="e">
        <f>ROUNDUP(($CY52*POWER($I52*100,2)/8+FJ53)/$DF52,1)</f>
        <v>#N/A</v>
      </c>
      <c r="DD52" s="87" t="e">
        <f>ROUNDUP(5*$CY52*POWER($I52*100,4)/(384*VLOOKUP(VALUE(RIGHT($J52,4)),許容応力!$B$6:$K$22,10)*100*$DG52),2)+FQ53</f>
        <v>#N/A</v>
      </c>
      <c r="DE52" s="87" t="e">
        <f>ROUND((CY52*I52*100/2)/Z52,1)</f>
        <v>#N/A</v>
      </c>
      <c r="DF52" s="87">
        <f>ROUNDDOWN($K52/10*POWER($M52/10,2)/6*IF(OR($AB52=0,$AB52=1),1,$AB52),0)</f>
        <v>0</v>
      </c>
      <c r="DG52" s="87">
        <f>ROUNDDOWN($K52/10*POWER($M52/10,3)/12*IF(OR($AB52=0,$AB52=1),1,$AB52),0)</f>
        <v>0</v>
      </c>
      <c r="DH52" s="88" t="e">
        <f>VLOOKUP(DQ52,許容応力!$B$6:$K$22,7)*1.1/3*100</f>
        <v>#VALUE!</v>
      </c>
      <c r="DI52" s="87" t="e">
        <f>ROUND(VLOOKUP(DQ52,許容応力!$B$6:$K$22,7)*100*2/3*0.8,0)</f>
        <v>#VALUE!</v>
      </c>
      <c r="DJ52" s="10" t="e">
        <f>IF($DN$6=2,ROUND(VLOOKUP(DQ52,許容応力!$B$6:$K$22,8)*1.1/3*100,0),ROUND(VLOOKUP(DQ52,許容応力!$B$6:$K$22,8)*1.1/3*1.3*100,0))</f>
        <v>#VALUE!</v>
      </c>
      <c r="DK52" s="87" t="e">
        <f>ROUND(VLOOKUP(DQ52,許容応力!$B$6:$K$22,8)*100*2/3*0.8,0)</f>
        <v>#VALUE!</v>
      </c>
      <c r="DL52" s="10" t="e">
        <f>IF($DN$6=2,ROUND(VLOOKUP(DQ52,許容応力!$B$6:$K$22,9)*1.1/3*100,0),ROUND(VLOOKUP(DQ52,許容応力!$B$6:$K$22,9)*1.1/3*1.3*100,0))</f>
        <v>#VALUE!</v>
      </c>
      <c r="DM52" s="87" t="e">
        <f>ROUND(VLOOKUP(DQ52,許容応力!$B$6:$K$22,9)*100*2/3*0.8,0)</f>
        <v>#VALUE!</v>
      </c>
      <c r="DN52" s="63">
        <v>600</v>
      </c>
      <c r="DO52" s="87">
        <f>ROUND(I52*100/DN52,2)</f>
        <v>0</v>
      </c>
      <c r="DP52" s="87"/>
      <c r="DQ52" s="87" t="e">
        <f>+VALUE(RIGHT(J52,3))</f>
        <v>#VALUE!</v>
      </c>
      <c r="DR52" s="89" t="e">
        <f>ROUND(ATAN(D54/10)*180/PI(),4)</f>
        <v>#VALUE!</v>
      </c>
      <c r="DS52" s="90" t="e">
        <f t="shared" ref="DS52:DS53" si="150">ROUND(COS(DR52*PI()/180),3)</f>
        <v>#VALUE!</v>
      </c>
      <c r="DT52" s="87">
        <f>VLOOKUP(VALUE(RIGHT(C52,4)),$C$632:$F$641,4)</f>
        <v>225</v>
      </c>
      <c r="DU52" s="87">
        <f>ROUND(I52*100/DT52,2)</f>
        <v>0</v>
      </c>
      <c r="DV52" s="87"/>
      <c r="DW52" s="87" t="e">
        <f>ROUNDUP((準備!$F$60/100+準備!$E$48/100)*($G52+$H52)/2,2)</f>
        <v>#N/A</v>
      </c>
      <c r="DX52" s="87" t="e">
        <f>ROUNDUP((準備!$F$60/100+準備!$E$48/100)*($G52+$H52)/2,2)</f>
        <v>#N/A</v>
      </c>
      <c r="DY52" s="87"/>
      <c r="DZ52" s="87"/>
      <c r="EA52" s="87"/>
      <c r="EB52" s="87" t="e">
        <f>ROUND(CX52*I52*100/2/AM52,1)</f>
        <v>#N/A</v>
      </c>
      <c r="EC52" s="87" t="e">
        <f t="shared" ref="EC52:EC53" si="151">ROUND(EB52/DL52,2)</f>
        <v>#N/A</v>
      </c>
      <c r="ED52" s="87" t="e">
        <f>ROUND(CY52*I52*100/2/AM52,1)</f>
        <v>#N/A</v>
      </c>
      <c r="EE52" s="87" t="e">
        <f t="shared" ref="EE52:EE53" si="152">ROUND(ED52/DM52,2)</f>
        <v>#N/A</v>
      </c>
      <c r="EF52" s="87"/>
      <c r="EG52" s="87">
        <f>IF(F54=0,0,+VALUE(RIGHT(F54,4)))</f>
        <v>0</v>
      </c>
      <c r="EH52" s="3">
        <f>+IF(EG52=1,HLOOKUP(EG53,FB53:FG54,2),0)</f>
        <v>0</v>
      </c>
      <c r="EI52" s="87" t="str">
        <f>IF(M52=0,"",ROUND(CX52*I52*100/2/DJ52,2))</f>
        <v/>
      </c>
      <c r="EJ52" s="87" t="str">
        <f>IF(M52=0,"",ROUND(CY52*I52*100/2/DK52,2))</f>
        <v/>
      </c>
      <c r="EK52" s="87"/>
      <c r="EL52" s="63" t="e">
        <f>ROUNDUP(ER52/3,-1)*3</f>
        <v>#N/A</v>
      </c>
      <c r="EM52" s="63" t="e">
        <f>ROUNDUP(ES52/3,-1)*3</f>
        <v>#N/A</v>
      </c>
      <c r="EO52" s="63" t="e">
        <f>ROUNDUP(EU52/3,-1)*3</f>
        <v>#N/A</v>
      </c>
      <c r="EP52" s="63" t="e">
        <f>ROUNDUP(EV52/3,-1)*3</f>
        <v>#N/A</v>
      </c>
      <c r="EQ52" s="155" t="e">
        <f t="shared" ref="EQ52:EQ53" si="153">+MAX(EL52:EP52)</f>
        <v>#N/A</v>
      </c>
      <c r="ER52" s="87" t="e">
        <f>ROUNDUP(SQRT(EW52/($K52/10)*6/IF(OR($AB52=0,$AB52=1),1,$AB52)),0)*10</f>
        <v>#N/A</v>
      </c>
      <c r="ES52" s="87" t="e">
        <f>POWER(ROUNDUP(EX52/($K52/10)*12/IF(OR($AB52=0,$AB52=1),1,$AB52),0),1/3)*10</f>
        <v>#N/A</v>
      </c>
      <c r="EU52" s="87" t="e">
        <f>ROUNDUP(SQRT(EZ52/($K52/10)*6/IF(OR($AB52=0,$AB52=1),1,$AB52))*10,0)</f>
        <v>#N/A</v>
      </c>
      <c r="EV52" s="87" t="e">
        <f>POWER(ROUNDUP(FA52/($K52/10)*12/IF(OR($AB52=0,$AB52=1),1,$AB52),0),1/3)*10</f>
        <v>#N/A</v>
      </c>
      <c r="EW52" s="87" t="e">
        <f>ROUNDUP(($CX52*POWER($I52*100,2)/8+FJ53)/$DH52,1)</f>
        <v>#N/A</v>
      </c>
      <c r="EX52" s="87" t="e">
        <f>ROUNDUP(5*$DW52*POWER($I52*100,4)/(384*VLOOKUP(VALUE(RIGHT($J52,4)),許容応力!$B$6:$K$22,10)*100*$DO52),2)+GB53</f>
        <v>#N/A</v>
      </c>
      <c r="EY52" s="87"/>
      <c r="EZ52" s="87" t="e">
        <f>ROUNDUP(($CY52*POWER($I52*100,2)/8+FJ53)/$DI52,1)</f>
        <v>#N/A</v>
      </c>
      <c r="FA52" s="87" t="e">
        <f>ROUNDUP(5*$CY52*POWER($I52*100,4)/(384*VLOOKUP(VALUE(RIGHT($J52,4)),許容応力!$B$6:$K$22,10)*100*$DU52),2)+GE53</f>
        <v>#N/A</v>
      </c>
      <c r="FB52" s="410" t="s">
        <v>1005</v>
      </c>
      <c r="FC52" s="3" t="s">
        <v>1007</v>
      </c>
      <c r="FD52" s="3" t="s">
        <v>1008</v>
      </c>
      <c r="FE52" s="3" t="s">
        <v>1009</v>
      </c>
      <c r="FF52" s="3" t="s">
        <v>1010</v>
      </c>
      <c r="FG52" s="410" t="s">
        <v>1006</v>
      </c>
      <c r="FH52" s="410" t="s">
        <v>1016</v>
      </c>
      <c r="FI52" s="3" t="s">
        <v>1249</v>
      </c>
      <c r="FK52" s="3" t="s">
        <v>189</v>
      </c>
      <c r="FL52" s="3" t="s">
        <v>1253</v>
      </c>
      <c r="FM52" s="412" t="s">
        <v>1013</v>
      </c>
      <c r="FN52" s="349" t="s">
        <v>1014</v>
      </c>
      <c r="FO52" s="412" t="s">
        <v>1015</v>
      </c>
      <c r="FP52" s="412" t="s">
        <v>1013</v>
      </c>
      <c r="FQ52" s="349" t="s">
        <v>1014</v>
      </c>
      <c r="FR52" s="412" t="s">
        <v>1015</v>
      </c>
      <c r="FS52" s="3" t="s">
        <v>1223</v>
      </c>
      <c r="FT52" s="3" t="s">
        <v>1224</v>
      </c>
      <c r="FU52" s="412" t="s">
        <v>1065</v>
      </c>
      <c r="FV52" s="349" t="s">
        <v>1066</v>
      </c>
      <c r="FW52" s="412" t="s">
        <v>1067</v>
      </c>
      <c r="FX52" s="412" t="s">
        <v>1065</v>
      </c>
      <c r="FY52" s="349" t="s">
        <v>1066</v>
      </c>
      <c r="FZ52" s="412" t="s">
        <v>1067</v>
      </c>
    </row>
    <row r="53" spans="2:187" ht="15.95" customHeight="1" x14ac:dyDescent="0.15">
      <c r="B53" s="1588"/>
      <c r="C53" s="1339"/>
      <c r="D53" s="831"/>
      <c r="E53" s="1578"/>
      <c r="F53" s="1578"/>
      <c r="G53" s="1564"/>
      <c r="H53" s="1564"/>
      <c r="I53" s="1564"/>
      <c r="J53" s="1566"/>
      <c r="K53" s="1567">
        <f>+IF(J52=0,0,"丸太末口 φ")</f>
        <v>0</v>
      </c>
      <c r="L53" s="1568"/>
      <c r="M53" s="832">
        <f>IF(J52=0,0,+EQ53)</f>
        <v>0</v>
      </c>
      <c r="N53" s="833" t="str">
        <f t="shared" si="140"/>
        <v/>
      </c>
      <c r="O53" s="1571"/>
      <c r="P53" s="1477"/>
      <c r="Q53" s="1489"/>
      <c r="R53" s="1489"/>
      <c r="S53" s="1576"/>
      <c r="T53" s="1489"/>
      <c r="U53" s="1489"/>
      <c r="V53" s="1022" t="str">
        <f>+AC$184</f>
        <v/>
      </c>
      <c r="W53" s="1578"/>
      <c r="X53" s="1487"/>
      <c r="Y53" s="1469"/>
      <c r="Z53" s="1485"/>
      <c r="AA53" s="1467"/>
      <c r="AB53" s="1124"/>
      <c r="AC53" s="834" t="str">
        <f t="shared" si="142"/>
        <v/>
      </c>
      <c r="AD53" s="834" t="str">
        <f t="shared" si="143"/>
        <v/>
      </c>
      <c r="AE53" s="1467"/>
      <c r="AF53" s="834" t="str">
        <f t="shared" si="144"/>
        <v/>
      </c>
      <c r="AG53" s="834" t="str">
        <f t="shared" si="145"/>
        <v/>
      </c>
      <c r="AH53" s="1474"/>
      <c r="AI53" s="835"/>
      <c r="AJ53" s="836"/>
      <c r="AK53" s="837"/>
      <c r="AL53" s="838"/>
      <c r="AM53" s="1469"/>
      <c r="AN53" s="1632"/>
      <c r="AO53" s="1636"/>
      <c r="AP53" s="839">
        <f>+IF(I52=0,0,"1/")</f>
        <v>0</v>
      </c>
      <c r="AQ53" s="840">
        <f>IF(I52=0,0,+DN53)</f>
        <v>0</v>
      </c>
      <c r="AR53" s="23"/>
      <c r="AS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1312"/>
      <c r="CN53" s="1301"/>
      <c r="CO53" s="548"/>
      <c r="CP53" s="9" t="e">
        <f>ROUNDUP(CX53*I52*100/2/DL53,2)</f>
        <v>#N/A</v>
      </c>
      <c r="CQ53" s="9" t="e">
        <f>ROUNDUP(CY53*I52*100/2/DM53,2)</f>
        <v>#N/A</v>
      </c>
      <c r="CR53" s="9" t="e">
        <f t="shared" si="148"/>
        <v>#N/A</v>
      </c>
      <c r="CS53" s="9">
        <f t="shared" ref="CS53" si="154">IF(M53=0,0,ROUNDUP(SQRT(AA53*(M53/10-6)*(M53/10-3))/(X53*X53),2))</f>
        <v>0</v>
      </c>
      <c r="CT53" s="58"/>
      <c r="CU53" s="78"/>
      <c r="CV53" s="78">
        <f>ROUNDUP(IF(VALUE(RIGHT($G$3,4))=1,$I$3*30*F54*100,$I$3*20*F54*100),0)</f>
        <v>0</v>
      </c>
      <c r="CW53" s="78"/>
      <c r="CX53" s="78" t="e">
        <f>ROUNDUP((準備!$F$60/100+準備!$C$48/100)*($G52+$H52)/2,2)</f>
        <v>#N/A</v>
      </c>
      <c r="CY53" s="78" t="e">
        <f>ROUNDUP((準備!$F$60/100+準備!$E$48/100)*($G52+$H52)/2,2)</f>
        <v>#N/A</v>
      </c>
      <c r="CZ53" s="78">
        <f>IF(K53=0,0,ROUNDUP(($CX53*POWER($I52*100,2)/8+FJ53)/$DF53,1))</f>
        <v>0</v>
      </c>
      <c r="DA53" s="63" t="e">
        <f>ROUNDUP(5*$CY53*POWER($I52*100,4)/(384*VLOOKUP(VALUE(RIGHT($J52,4)),許容応力!$L$6:$U$22,10)*100*$DG53),2)+FQ53</f>
        <v>#N/A</v>
      </c>
      <c r="DB53" s="78" t="e">
        <f>ROUND((CX53*I52*100/2)/Z52,1)</f>
        <v>#N/A</v>
      </c>
      <c r="DC53" s="78" t="e">
        <f>ROUNDUP(($CY53*POWER($I52*100,2)/8+FJ53)/$DF53,1)</f>
        <v>#N/A</v>
      </c>
      <c r="DD53" s="63" t="e">
        <f>ROUNDUP(5*$CY53*POWER($I52*100,4)/(384*VLOOKUP(VALUE(RIGHT($J52,4)),許容応力!$L$6:$U$22,10)*100*$DG53),2)+FQ53</f>
        <v>#N/A</v>
      </c>
      <c r="DE53" s="78" t="e">
        <f>ROUND((CY53*I52*100/2)/Z52,1)</f>
        <v>#N/A</v>
      </c>
      <c r="DF53" s="63">
        <f>IF(M53&lt;180,ROUND((M53/10-3)*POWER(M53/10-3,2)/6*IF(AB53=0,1,AB53),0),ROUND((M53/10-5)*POWER(M53/10-3,2)/6*IF($AB53=0,1,$AB53),0))</f>
        <v>-5</v>
      </c>
      <c r="DG53" s="63">
        <f>ROUND(IF(M53&lt;180,(M53/10-3)*POWER((M53/10-3),3)/12*IF(AB53=0,1,AB53),(M53/10-4))*POWER((M53/10-3),3)/12*IF(AB53=0,1,AB53),0)</f>
        <v>-15</v>
      </c>
      <c r="DH53" s="10" t="e">
        <f>IF($DN$6=2,ROUND(VLOOKUP(DQ53,許容応力!$L$6:$U$22,7)*1.1/3*100,0),ROUND(VLOOKUP(DQ53,許容応力!$L$6:$U$22,7)*1.1/3*1.3*100,0))</f>
        <v>#VALUE!</v>
      </c>
      <c r="DI53" s="63" t="e">
        <f>ROUND(VLOOKUP(DQ53,許容応力!$L$6:$U$22,7)*100*2/3*0.8,0)</f>
        <v>#VALUE!</v>
      </c>
      <c r="DJ53" s="10" t="e">
        <f>IF($DN$6=2,ROUND(VLOOKUP(DQ53,許容応力!$L$6:$U$22,8)*1.1/3*100,0),ROUND(VLOOKUP(DQ53,許容応力!$L$6:$U$22,8)*1.1/3*1.3*100,0))</f>
        <v>#VALUE!</v>
      </c>
      <c r="DK53" s="63" t="e">
        <f>ROUND(VLOOKUP(DQ53,許容応力!$L$6:$U$22,8)*100*2/3*0.8,0)</f>
        <v>#VALUE!</v>
      </c>
      <c r="DL53" s="10" t="e">
        <f>IF($DN$6=2,ROUND(VLOOKUP(DQ53,許容応力!$L$6:$U$22,9)*1.1/3*100,0),ROUND(VLOOKUP(DQ53,許容応力!$L$6:$U$22,9)*1.1/3*1.3*100,0))</f>
        <v>#VALUE!</v>
      </c>
      <c r="DM53" s="63" t="e">
        <f>ROUND(VLOOKUP(DQ53,許容応力!$L$6:$U$22,9)*100*2/3*0.8,0)</f>
        <v>#VALUE!</v>
      </c>
      <c r="DN53" s="63">
        <v>600</v>
      </c>
      <c r="DO53" s="78">
        <f>ROUND(I52*100/DN53,2)</f>
        <v>0</v>
      </c>
      <c r="DP53" s="78"/>
      <c r="DQ53" s="78" t="e">
        <f>+VALUE(RIGHT(J52,3))</f>
        <v>#VALUE!</v>
      </c>
      <c r="DR53" s="92" t="e">
        <f>ROUND(ATAN(D54/10)*180/PI(),4)</f>
        <v>#VALUE!</v>
      </c>
      <c r="DS53" s="80" t="e">
        <f t="shared" si="150"/>
        <v>#VALUE!</v>
      </c>
      <c r="DT53" s="78">
        <f>VLOOKUP(VALUE(RIGHT(C52,4)),$C$632:$F$641,4)</f>
        <v>225</v>
      </c>
      <c r="DU53" s="78">
        <f>ROUND(I52*100/DT53,2)</f>
        <v>0</v>
      </c>
      <c r="DV53" s="78"/>
      <c r="DW53" s="78" t="e">
        <f>ROUNDUP((準備!$F$60/100+準備!$E$48/100)*($G52+$H52)/2,2)</f>
        <v>#N/A</v>
      </c>
      <c r="DX53" s="78" t="e">
        <f>ROUNDUP((準備!$F$60/100+準備!$E$48/100)*($G52+$H52)/2,2)</f>
        <v>#N/A</v>
      </c>
      <c r="DY53" s="71">
        <f>IF(I52&lt;6,POWER(M53/10,2)*I52/10000,POWER((M53/10+(ROUNDDOWN(I52,0)-4)/2),2)*I52/10000)</f>
        <v>0</v>
      </c>
      <c r="DZ53" s="78">
        <v>200</v>
      </c>
      <c r="EA53" s="93">
        <f>ROUND(DY53*DZ53/100,0)</f>
        <v>0</v>
      </c>
      <c r="EB53" s="78" t="e">
        <f>ROUND((CX53*I52*100/2+EA53)/AM53,1)</f>
        <v>#N/A</v>
      </c>
      <c r="EC53" s="78" t="e">
        <f t="shared" si="151"/>
        <v>#N/A</v>
      </c>
      <c r="ED53" s="78" t="e">
        <f>ROUND((CY53*I52*100/2+EA53)/AM53,1)</f>
        <v>#N/A</v>
      </c>
      <c r="EE53" s="78" t="e">
        <f t="shared" si="152"/>
        <v>#N/A</v>
      </c>
      <c r="EF53" s="78"/>
      <c r="EG53" s="78" t="e">
        <f>+VALUE(RIGHT(H54,4))</f>
        <v>#VALUE!</v>
      </c>
      <c r="EH53" s="78"/>
      <c r="EI53" s="78" t="str">
        <f>IF(M53=0,"",ROUND(CX53*I52*100/2/DJ53,2))</f>
        <v/>
      </c>
      <c r="EJ53" s="78" t="str">
        <f>IF(M53=0,"",ROUND(CY53*I52*100/2/DK53,2))</f>
        <v/>
      </c>
      <c r="EK53" s="78"/>
      <c r="EL53" s="63" t="e">
        <f>IF(AB53=0.8,VLOOKUP(ER53,$CR$395:$CS$439,2),IF(AB53=0.9,VLOOKUP(ER53,$CR$348:$CS$394,2),VLOOKUP(ER53,$CR$301:$CS$344,2)))</f>
        <v>#N/A</v>
      </c>
      <c r="EM53" s="63" t="e">
        <f>IF(AB53=0.8,VLOOKUP(ES53,$CT$395:$CU$439,2),IF(AB53=0.9,VLOOKUP(ES53,$CT$348:$CU$394,2),VLOOKUP(ES53,$CT$301:$CU$344,2)))</f>
        <v>#N/A</v>
      </c>
      <c r="EO53" s="63" t="e">
        <f>IF(AB53=0.8,VLOOKUP(EU53,$CR$395:$CS$439,2),IF(AB53=0.9,VLOOKUP(EU53,$CR$348:$CS$394,2),VLOOKUP(EU53,$CR$301:$CS$344,2)))</f>
        <v>#N/A</v>
      </c>
      <c r="EP53" s="63" t="e">
        <f>IF(AB53=0.8,VLOOKUP(EV53,$CT$395:$CU$439,2),IF(AB53=0.9,VLOOKUP(EV53,$CT$348:$CU$394,2),VLOOKUP(EV53,$CT$301:$CU$344,2)))</f>
        <v>#N/A</v>
      </c>
      <c r="EQ53" s="155" t="e">
        <f t="shared" si="153"/>
        <v>#N/A</v>
      </c>
      <c r="ER53" s="78" t="e">
        <f>ROUNDUP(($CX53*POWER($I52*100,2)/8+FJ53)/$DH53,1)</f>
        <v>#N/A</v>
      </c>
      <c r="ES53" s="78" t="e">
        <f>ROUNDUP(5*$DW53*POWER($I52*100,4)/(384*VLOOKUP(VALUE(RIGHT($J52,4)),許容応力!$B$6:$K$22,10)*100*$DO53),2)+GB53</f>
        <v>#N/A</v>
      </c>
      <c r="ET53" s="78"/>
      <c r="EU53" s="78" t="e">
        <f>ROUNDUP(($CY53*POWER($I52*100,2)/8+FJ53)/$DI53,1)</f>
        <v>#N/A</v>
      </c>
      <c r="EV53" s="78" t="e">
        <f>ROUNDUP(5*$CY53*POWER($I52*100,4)/(384*VLOOKUP(VALUE(RIGHT($J52,4)),許容応力!$B$6:$K$22,10)*100*$DU53),2)+GE53</f>
        <v>#N/A</v>
      </c>
      <c r="EW53" s="78"/>
      <c r="EX53" s="78"/>
      <c r="EY53" s="78"/>
      <c r="EZ53" s="78"/>
      <c r="FA53" s="78"/>
      <c r="FB53" s="3">
        <v>1</v>
      </c>
      <c r="FC53" s="3">
        <v>2</v>
      </c>
      <c r="FD53" s="3">
        <v>3</v>
      </c>
      <c r="FE53" s="3">
        <v>4</v>
      </c>
      <c r="FF53" s="3">
        <v>5</v>
      </c>
      <c r="FG53" s="3">
        <v>6</v>
      </c>
      <c r="FI53" s="3" t="s">
        <v>1019</v>
      </c>
      <c r="FJ53" s="63">
        <f>IF(F54=0,0,ROUND(EH52*POWER(I52*100,2)/8,2))</f>
        <v>0</v>
      </c>
      <c r="FK53" s="3">
        <f>IF(F54=0,0,ROUND(5*EH52*POWER(I52*100,4)/(384*FL53),2))</f>
        <v>0</v>
      </c>
      <c r="FL53" s="642">
        <f>IF(F54=0,0,+VLOOKUP(VALUE(RIGHT(J52,4)),許容応力!$B$6:$K$22,10)*100)</f>
        <v>0</v>
      </c>
      <c r="FM53" s="3">
        <f>IF(F54=0,0,ROUND((FJ53)/DF52,1))</f>
        <v>0</v>
      </c>
      <c r="FN53" s="3">
        <f>IF(F54=0,0,ROUND(FK53/DG52,2))</f>
        <v>0</v>
      </c>
      <c r="FO53" s="3">
        <f>IF(F54=0,0,ROUND(FJ54/Z52,1))</f>
        <v>0</v>
      </c>
      <c r="FP53" s="3">
        <f>+FM53</f>
        <v>0</v>
      </c>
      <c r="FQ53" s="3">
        <f>+FN53</f>
        <v>0</v>
      </c>
      <c r="FR53" s="3">
        <f>+FO53</f>
        <v>0</v>
      </c>
      <c r="FS53" s="3">
        <f>IF(F54=0,0,ROUND(VLOOKUP(VALUE(RIGHT(J52,4)),許容応力!$B$6:$K$22,9)*1.1/3*100,0))</f>
        <v>0</v>
      </c>
      <c r="FT53" s="3">
        <f>IF(F54=0,0,ROUND(VLOOKUP(VALUE(RIGHT($J52,4)),許容応力!$B$6:$K$22,9)*2/3*0.8*100,0))</f>
        <v>0</v>
      </c>
      <c r="FU53" s="3">
        <f>IF(F54=0,0,ROUND(FM53/CZ52,2))</f>
        <v>0</v>
      </c>
      <c r="FV53" s="3">
        <f>IF(F54=0,0,ROUND(FN53/DA52,2))</f>
        <v>0</v>
      </c>
      <c r="FW53" s="3">
        <f>IF(F54=0,0,ROUND(FO53/DB52,2))</f>
        <v>0</v>
      </c>
      <c r="FX53" s="3">
        <f>IF(F54=0,0,ROUND(FP53/DC52,2))</f>
        <v>0</v>
      </c>
      <c r="FY53" s="3">
        <f>IF(F54=0,0,ROUND(FQ53/DD52,2))</f>
        <v>0</v>
      </c>
      <c r="FZ53" s="3">
        <f>IF(F54=0,0,ROUND(FR53/DE52,2))</f>
        <v>0</v>
      </c>
      <c r="GA53" s="87">
        <f>IF(F54=0,0,ROUNDUP(EH52*POWER(I52*100,2)/8/DH52,1))</f>
        <v>0</v>
      </c>
      <c r="GB53" s="87">
        <f>IF(F54=0,0,ROUNDUP(5*EH52*POWER(I52*100,4)/(384*VLOOKUP(VALUE(RIGHT($J52,4)),許容応力!$B$6:$K$22,10)*100*$DO52),2))</f>
        <v>0</v>
      </c>
      <c r="GC53" s="87"/>
      <c r="GD53" s="87">
        <f>+GA53</f>
        <v>0</v>
      </c>
      <c r="GE53" s="87">
        <f>+GB53</f>
        <v>0</v>
      </c>
    </row>
    <row r="54" spans="2:187" ht="15.95" customHeight="1" thickBot="1" x14ac:dyDescent="0.2">
      <c r="B54" s="1650"/>
      <c r="C54" s="1596"/>
      <c r="D54" s="1580" t="s">
        <v>1248</v>
      </c>
      <c r="E54" s="1581"/>
      <c r="F54" s="1126"/>
      <c r="G54" s="280" t="s">
        <v>1250</v>
      </c>
      <c r="H54" s="1127"/>
      <c r="I54" s="841" t="s">
        <v>1252</v>
      </c>
      <c r="J54" s="1114"/>
      <c r="K54" s="842"/>
      <c r="L54" s="843"/>
      <c r="M54" s="841"/>
      <c r="N54" s="843"/>
      <c r="O54" s="843"/>
      <c r="P54" s="845"/>
      <c r="Q54" s="845"/>
      <c r="R54" s="845"/>
      <c r="S54" s="845"/>
      <c r="T54" s="845"/>
      <c r="U54" s="845"/>
      <c r="V54" s="843"/>
      <c r="W54" s="845"/>
      <c r="X54" s="855"/>
      <c r="Y54" s="847"/>
      <c r="Z54" s="847"/>
      <c r="AA54" s="845"/>
      <c r="AB54" s="1149"/>
      <c r="AC54" s="848"/>
      <c r="AD54" s="848"/>
      <c r="AE54" s="845"/>
      <c r="AF54" s="848"/>
      <c r="AG54" s="848"/>
      <c r="AH54" s="849"/>
      <c r="AI54" s="856"/>
      <c r="AJ54" s="857"/>
      <c r="AK54" s="858"/>
      <c r="AL54" s="859"/>
      <c r="AM54" s="847"/>
      <c r="AN54" s="847"/>
      <c r="AO54" s="854"/>
      <c r="AP54" s="184"/>
      <c r="AQ54" s="185"/>
      <c r="AR54" s="23"/>
      <c r="AS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830"/>
      <c r="CO54" s="548"/>
      <c r="CP54" s="9"/>
      <c r="CQ54" s="9"/>
      <c r="CR54" s="9"/>
      <c r="CS54" s="9"/>
      <c r="CT54" s="58"/>
      <c r="CU54" s="78"/>
      <c r="CV54" s="78"/>
      <c r="CW54" s="78"/>
      <c r="CX54" s="78"/>
      <c r="CY54" s="78"/>
      <c r="CZ54" s="78"/>
      <c r="DA54" s="63"/>
      <c r="DB54" s="78"/>
      <c r="DC54" s="78"/>
      <c r="DD54" s="63"/>
      <c r="DE54" s="78"/>
      <c r="DF54" s="63"/>
      <c r="DG54" s="63"/>
      <c r="DH54" s="10"/>
      <c r="DI54" s="63"/>
      <c r="DJ54" s="10"/>
      <c r="DK54" s="63"/>
      <c r="DL54" s="10"/>
      <c r="DM54" s="63"/>
      <c r="DN54" s="63"/>
      <c r="DO54" s="78"/>
      <c r="DP54" s="78"/>
      <c r="DQ54" s="78"/>
      <c r="DR54" s="92"/>
      <c r="DS54" s="80"/>
      <c r="DT54" s="78"/>
      <c r="DU54" s="78"/>
      <c r="DV54" s="78"/>
      <c r="DW54" s="78"/>
      <c r="DX54" s="78"/>
      <c r="DY54" s="71"/>
      <c r="DZ54" s="78"/>
      <c r="EA54" s="93"/>
      <c r="EB54" s="78"/>
      <c r="EC54" s="78"/>
      <c r="ED54" s="78"/>
      <c r="EE54" s="78"/>
      <c r="EF54" s="78"/>
      <c r="EG54" s="78"/>
      <c r="EH54" s="78"/>
      <c r="EI54" s="78"/>
      <c r="EJ54" s="78"/>
      <c r="EK54" s="78"/>
      <c r="EL54" s="63"/>
      <c r="EM54" s="63"/>
      <c r="EO54" s="63"/>
      <c r="EP54" s="63"/>
      <c r="EQ54" s="155"/>
      <c r="ER54" s="78"/>
      <c r="ES54" s="78"/>
      <c r="ET54" s="78"/>
      <c r="EU54" s="78"/>
      <c r="EV54" s="78"/>
      <c r="EW54" s="78"/>
      <c r="EX54" s="78"/>
      <c r="EY54" s="78"/>
      <c r="EZ54" s="78"/>
      <c r="FA54" s="78"/>
      <c r="FB54" s="128">
        <f>+準備!$G$20/100*J54</f>
        <v>0</v>
      </c>
      <c r="FC54" s="128">
        <f>+準備!$G$24/100*J54</f>
        <v>0</v>
      </c>
      <c r="FD54" s="128">
        <f>+準備!$G$28/100*J54</f>
        <v>0</v>
      </c>
      <c r="FE54" s="128">
        <f>+準備!$G$32/100*J54</f>
        <v>0</v>
      </c>
      <c r="FF54" s="128">
        <f>+準備!$G$36/100*J54</f>
        <v>0</v>
      </c>
      <c r="FG54" s="128">
        <f>+準備!$G$38/100*J54</f>
        <v>0</v>
      </c>
      <c r="FI54" s="3" t="s">
        <v>1018</v>
      </c>
      <c r="FJ54" s="63">
        <f>IF(F54=0,0,ROUND(EH52*I52*100/2,2))</f>
        <v>0</v>
      </c>
      <c r="FK54" s="63"/>
      <c r="FM54" s="3">
        <f t="shared" ref="FM54:FR54" si="155">+FM53</f>
        <v>0</v>
      </c>
      <c r="FN54" s="3">
        <f t="shared" si="155"/>
        <v>0</v>
      </c>
      <c r="FO54" s="3">
        <f t="shared" si="155"/>
        <v>0</v>
      </c>
      <c r="FP54" s="3">
        <f t="shared" si="155"/>
        <v>0</v>
      </c>
      <c r="FQ54" s="3">
        <f t="shared" si="155"/>
        <v>0</v>
      </c>
      <c r="FR54" s="3">
        <f t="shared" si="155"/>
        <v>0</v>
      </c>
      <c r="FS54" s="3">
        <f>IF(F54=0,0,ROUND(EH52*I52*100/2/FS53/AM52,2))</f>
        <v>0</v>
      </c>
      <c r="FT54" s="3">
        <f>IF(F54=0,0,ROUND(EH52*I52*100/2/FT53/AM52,2))</f>
        <v>0</v>
      </c>
      <c r="FU54" s="3">
        <f t="shared" ref="FU54:FZ54" si="156">+FU53</f>
        <v>0</v>
      </c>
      <c r="FV54" s="3">
        <f t="shared" si="156"/>
        <v>0</v>
      </c>
      <c r="FW54" s="3">
        <f t="shared" si="156"/>
        <v>0</v>
      </c>
      <c r="FX54" s="3">
        <f t="shared" si="156"/>
        <v>0</v>
      </c>
      <c r="FY54" s="3">
        <f t="shared" si="156"/>
        <v>0</v>
      </c>
      <c r="FZ54" s="3">
        <f t="shared" si="156"/>
        <v>0</v>
      </c>
    </row>
    <row r="55" spans="2:187" ht="15.95" customHeight="1" x14ac:dyDescent="0.15">
      <c r="B55" s="1650"/>
      <c r="C55" s="1339" t="s">
        <v>1284</v>
      </c>
      <c r="D55" s="917"/>
      <c r="E55" s="1617"/>
      <c r="F55" s="1321"/>
      <c r="G55" s="1644"/>
      <c r="H55" s="1644"/>
      <c r="I55" s="1644"/>
      <c r="J55" s="1478"/>
      <c r="K55" s="1117"/>
      <c r="L55" s="196">
        <f>+IF(K55=0,0,"×")</f>
        <v>0</v>
      </c>
      <c r="M55" s="241">
        <f>IF(K55=0,0,+EQ55)</f>
        <v>0</v>
      </c>
      <c r="N55" s="242" t="str">
        <f t="shared" ref="N55:N56" si="157">IF(AC55=+"","",IF(AND(AC55&lt;=1,AD55&lt;=1,AF55&lt;=1,AG55&lt;=1),"OK!","NO!"))</f>
        <v/>
      </c>
      <c r="O55" s="1520">
        <f>IF(Z55=0,0,IF(AND(U55=0,X55=0),0,IF(IF(AE55&gt;=AH55,AE55,AH55)&lt;=1,"OK!","NO!")))</f>
        <v>0</v>
      </c>
      <c r="P55" s="1645"/>
      <c r="Q55" s="1572"/>
      <c r="R55" s="1572"/>
      <c r="S55" s="1617">
        <f t="shared" ref="S55" si="158">+IF(R55=0,0,6)</f>
        <v>0</v>
      </c>
      <c r="T55" s="1572"/>
      <c r="U55" s="1572"/>
      <c r="V55" s="196" t="str">
        <f>+AD$185</f>
        <v/>
      </c>
      <c r="W55" s="1321">
        <f>IF(U55=0,0,+VLOOKUP(V55,$I$204:$J$209,2))</f>
        <v>0</v>
      </c>
      <c r="X55" s="1641"/>
      <c r="Y55" s="1642">
        <f>IF(X55=0,0,+CS55)</f>
        <v>0</v>
      </c>
      <c r="Z55" s="1300">
        <f>IF(AND(R55=0,X55=0),0,+IF(AND(VALUE(RIGHT(P55,4))=2,R55&gt;0),0,IF(AND(VALUE(RIGHT(P55,4))=1,X55&gt;0),0,CM55)))</f>
        <v>0</v>
      </c>
      <c r="AA55" s="1646">
        <f>IF(X55=0,0,IF(EI55&gt;=EJ55,EI55,EJ55))</f>
        <v>0</v>
      </c>
      <c r="AB55" s="1121"/>
      <c r="AC55" s="201" t="str">
        <f t="shared" ref="AC55:AC56" si="159">IF(M55=0,"",ROUNDUP(CZ55/DH55,2))</f>
        <v/>
      </c>
      <c r="AD55" s="201" t="str">
        <f t="shared" ref="AD55:AD56" si="160">IF(M55=0,"",ROUND(DA55/DO55,2))</f>
        <v/>
      </c>
      <c r="AE55" s="1466">
        <f>IF(G55=+"",0,IF(AND(U55=0,X55=0),0,IF(X55=0,ROUND(DB55/(DJ55*$CP$4*W55),2),ROUND(DB55/DJ55,2))))</f>
        <v>0</v>
      </c>
      <c r="AF55" s="201" t="str">
        <f t="shared" ref="AF55:AF56" si="161">IF(M55=0,"",ROUNDUP(DC55/DI55,2))</f>
        <v/>
      </c>
      <c r="AG55" s="201" t="str">
        <f t="shared" ref="AG55:AG56" si="162">IF(M55=0,"",ROUNDUP(DD55/DU55,2))</f>
        <v/>
      </c>
      <c r="AH55" s="1466">
        <f>IF(G55=+"",0,IF(AND(U55=0,X55=0),0,IF(X55=0,ROUND(DE55/(DK55*$CP$4*W55),2),ROUND(DE55/DK55,2))))</f>
        <v>0</v>
      </c>
      <c r="AI55" s="818"/>
      <c r="AJ55" s="811"/>
      <c r="AK55" s="823"/>
      <c r="AL55" s="812"/>
      <c r="AM55" s="1631">
        <f>IF(AI55=0,0,ROUND(AI55*AJ55+AK55*AL55+AI56*AJ56+AK56*AL56,2))</f>
        <v>0</v>
      </c>
      <c r="AN55" s="1631">
        <f t="shared" ref="AN55" si="163">IF(AJ55=0,0,IF(CO55=1,CN55/($CP$4*W55),CN55))</f>
        <v>0</v>
      </c>
      <c r="AO55" s="1635" t="str">
        <f t="shared" ref="AO55" si="164">IF(AN55=0,"",IF(AN55&lt;=1,"OK!","NO!"))</f>
        <v/>
      </c>
      <c r="AP55" s="186">
        <f>+IF(I55=0,0,"1/")</f>
        <v>0</v>
      </c>
      <c r="AQ55" s="187">
        <f>IF(I55=0,0,+DN55)</f>
        <v>0</v>
      </c>
      <c r="AR55" s="23"/>
      <c r="AS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1313">
        <f>IF(AND(U55=0,X55=0),0,IF(U55&gt;0,AD$196/100*$CP$4*W55,ROUND(POWER(X55*Y55,2)/(K55/10*M55/10),2)))</f>
        <v>0</v>
      </c>
      <c r="CN55" s="1304" t="str">
        <f>IF($AJ55=0,"",IF($EC55&gt;=$EE55,$EC55+FN56,$EE55+FN56))</f>
        <v/>
      </c>
      <c r="CO55" s="552">
        <f>IF(P55=0,0,+VALUE(RIGHT(P55,4)))</f>
        <v>0</v>
      </c>
      <c r="CP55" s="91" t="e">
        <f>ROUNDUP(CX55*I55*100/2/DL55,2)</f>
        <v>#N/A</v>
      </c>
      <c r="CQ55" s="91" t="e">
        <f>ROUNDUP(CY55*I55*100/2/DM55,2)</f>
        <v>#N/A</v>
      </c>
      <c r="CR55" s="91" t="e">
        <f t="shared" ref="CR55:CR56" si="165">IF(CP55&gt;=CQ55,CP55,CQ55)</f>
        <v>#N/A</v>
      </c>
      <c r="CS55" s="9">
        <f t="shared" ref="CS55" si="166">IF(M55=0,0,ROUNDUP(SQRT((AA55*K55/10*M55/10)/(X55*X55)),2))</f>
        <v>0</v>
      </c>
      <c r="CT55" s="94"/>
      <c r="CU55" s="95"/>
      <c r="CV55" s="87">
        <f>ROUNDUP(IF(VALUE(RIGHT($G$3,4))=1,$I$3*30*F57*100,$I$3*20*F57*100),0)</f>
        <v>0</v>
      </c>
      <c r="CW55" s="87"/>
      <c r="CX55" s="87" t="e">
        <f>ROUNDUP((準備!$F$60/100+準備!$C$48/100)*($G55+$H55)/2,2)</f>
        <v>#N/A</v>
      </c>
      <c r="CY55" s="87" t="e">
        <f>ROUNDUP((準備!$F$60/100+準備!$E$48/100)*($G55+$H55)/2,2)</f>
        <v>#N/A</v>
      </c>
      <c r="CZ55" s="87" t="e">
        <f>ROUNDUP(($CX55*POWER($I55*100,2)/8+FJ56)/$DF55,1)</f>
        <v>#N/A</v>
      </c>
      <c r="DA55" s="87" t="e">
        <f>ROUNDUP(5*$DW55*POWER($I55*100,4)/(384*VLOOKUP(VALUE(RIGHT($J55,4)),許容応力!$B$6:$K$22,10)*100*$DG55),2)+FN56</f>
        <v>#N/A</v>
      </c>
      <c r="DB55" s="87" t="e">
        <f>ROUND((CX55*I55*100/2)/Z55,1)</f>
        <v>#N/A</v>
      </c>
      <c r="DC55" s="87" t="e">
        <f>ROUNDUP(($CY55*POWER($I55*100,2)/8+FJ56)/$DF55,1)</f>
        <v>#N/A</v>
      </c>
      <c r="DD55" s="87" t="e">
        <f>ROUNDUP(5*$CY55*POWER($I55*100,4)/(384*VLOOKUP(VALUE(RIGHT($J55,4)),許容応力!$B$6:$K$22,10)*100*$DG55),2)+FQ56</f>
        <v>#N/A</v>
      </c>
      <c r="DE55" s="87" t="e">
        <f>ROUND((CY55*I55*100/2)/Z55,1)</f>
        <v>#N/A</v>
      </c>
      <c r="DF55" s="87">
        <f>ROUNDDOWN($K55/10*POWER($M55/10,2)/6*IF(OR($AB55=0,$AB55=1),1,$AB55),0)</f>
        <v>0</v>
      </c>
      <c r="DG55" s="87">
        <f>ROUNDDOWN($K55/10*POWER($M55/10,3)/12*IF(OR($AB55=0,$AB55=1),1,$AB55),0)</f>
        <v>0</v>
      </c>
      <c r="DH55" s="88" t="e">
        <f>VLOOKUP(DQ55,許容応力!$B$6:$K$22,7)*1.1/3*100</f>
        <v>#VALUE!</v>
      </c>
      <c r="DI55" s="87" t="e">
        <f>ROUND(VLOOKUP(DQ55,許容応力!$B$6:$K$22,7)*100*2/3*0.8,0)</f>
        <v>#VALUE!</v>
      </c>
      <c r="DJ55" s="10" t="e">
        <f>IF($DN$6=2,ROUND(VLOOKUP(DQ55,許容応力!$B$6:$K$22,8)*1.1/3*100,0),ROUND(VLOOKUP(DQ55,許容応力!$B$6:$K$22,8)*1.1/3*1.3*100,0))</f>
        <v>#VALUE!</v>
      </c>
      <c r="DK55" s="87" t="e">
        <f>ROUND(VLOOKUP(DQ55,許容応力!$B$6:$K$22,8)*100*2/3*0.8,0)</f>
        <v>#VALUE!</v>
      </c>
      <c r="DL55" s="10" t="e">
        <f>IF($DN$6=2,ROUND(VLOOKUP(DQ55,許容応力!$B$6:$K$22,9)*1.1/3*100,0),ROUND(VLOOKUP(DQ55,許容応力!$B$6:$K$22,9)*1.1/3*1.3*100,0))</f>
        <v>#VALUE!</v>
      </c>
      <c r="DM55" s="87" t="e">
        <f>ROUND(VLOOKUP(DQ55,許容応力!$B$6:$K$22,9)*100*2/3*0.8,0)</f>
        <v>#VALUE!</v>
      </c>
      <c r="DN55" s="63">
        <v>600</v>
      </c>
      <c r="DO55" s="87">
        <f>ROUND(I55*100/DN55,2)</f>
        <v>0</v>
      </c>
      <c r="DP55" s="87"/>
      <c r="DQ55" s="87" t="e">
        <f>+VALUE(RIGHT(J55,3))</f>
        <v>#VALUE!</v>
      </c>
      <c r="DR55" s="89" t="e">
        <f>ROUND(ATAN(D57/10)*180/PI(),4)</f>
        <v>#VALUE!</v>
      </c>
      <c r="DS55" s="90" t="e">
        <f t="shared" ref="DS55:DS56" si="167">ROUND(COS(DR55*PI()/180),3)</f>
        <v>#VALUE!</v>
      </c>
      <c r="DT55" s="87">
        <f>VLOOKUP(VALUE(RIGHT(C55,4)),$C$632:$F$641,4)</f>
        <v>225</v>
      </c>
      <c r="DU55" s="87">
        <f>ROUND(I55*100/DT55,2)</f>
        <v>0</v>
      </c>
      <c r="DV55" s="87"/>
      <c r="DW55" s="87" t="e">
        <f>ROUNDUP((準備!$F$60/100+準備!$E$48/100)*($G55+$H55)/2,2)</f>
        <v>#N/A</v>
      </c>
      <c r="DX55" s="87" t="e">
        <f>ROUNDUP((準備!$F$60/100+準備!$E$48/100)*($G55+$H55)/2,2)</f>
        <v>#N/A</v>
      </c>
      <c r="DY55" s="87"/>
      <c r="DZ55" s="87"/>
      <c r="EA55" s="87"/>
      <c r="EB55" s="87" t="e">
        <f>ROUND(CX55*I55*100/2/AM55,1)</f>
        <v>#N/A</v>
      </c>
      <c r="EC55" s="87" t="e">
        <f t="shared" ref="EC55:EC56" si="168">ROUND(EB55/DL55,2)</f>
        <v>#N/A</v>
      </c>
      <c r="ED55" s="87" t="e">
        <f>ROUND(CY55*I55*100/2/AM55,1)</f>
        <v>#N/A</v>
      </c>
      <c r="EE55" s="87" t="e">
        <f t="shared" ref="EE55:EE56" si="169">ROUND(ED55/DM55,2)</f>
        <v>#N/A</v>
      </c>
      <c r="EF55" s="87"/>
      <c r="EG55" s="87">
        <f>IF(F57=0,0,+VALUE(RIGHT(F57,4)))</f>
        <v>0</v>
      </c>
      <c r="EH55" s="3">
        <f>+IF(EG55=1,HLOOKUP(EG56,FB56:FG57,2),0)</f>
        <v>0</v>
      </c>
      <c r="EI55" s="87" t="str">
        <f>IF(M55=0,"",ROUND(CX55*I55*100/2/DJ55,2))</f>
        <v/>
      </c>
      <c r="EJ55" s="87" t="str">
        <f>IF(M55=0,"",ROUND(CY55*I55*100/2/DK55,2))</f>
        <v/>
      </c>
      <c r="EK55" s="87"/>
      <c r="EL55" s="63" t="e">
        <f>ROUNDUP(ER55/3,-1)*3</f>
        <v>#N/A</v>
      </c>
      <c r="EM55" s="63" t="e">
        <f>ROUNDUP(ES55/3,-1)*3</f>
        <v>#N/A</v>
      </c>
      <c r="EO55" s="63" t="e">
        <f>ROUNDUP(EU55/3,-1)*3</f>
        <v>#N/A</v>
      </c>
      <c r="EP55" s="63" t="e">
        <f>ROUNDUP(EV55/3,-1)*3</f>
        <v>#N/A</v>
      </c>
      <c r="EQ55" s="155" t="e">
        <f t="shared" ref="EQ55:EQ56" si="170">+MAX(EL55:EP55)</f>
        <v>#N/A</v>
      </c>
      <c r="ER55" s="87" t="e">
        <f>ROUNDUP(SQRT(EW55/($K55/10)*6/IF(OR($AB55=0,$AB55=1),1,$AB55)),0)*10</f>
        <v>#N/A</v>
      </c>
      <c r="ES55" s="87" t="e">
        <f>POWER(ROUNDUP(EX55/($K55/10)*12/IF(OR($AB55=0,$AB55=1),1,$AB55),0),1/3)*10</f>
        <v>#N/A</v>
      </c>
      <c r="EU55" s="87" t="e">
        <f>ROUNDUP(SQRT(EZ55/($K55/10)*6/IF(OR($AB55=0,$AB55=1),1,$AB55))*10,0)</f>
        <v>#N/A</v>
      </c>
      <c r="EV55" s="87" t="e">
        <f>POWER(ROUNDUP(FA55/($K55/10)*12/IF(OR($AB55=0,$AB55=1),1,$AB55),0),1/3)*10</f>
        <v>#N/A</v>
      </c>
      <c r="EW55" s="87" t="e">
        <f>ROUNDUP(($CX55*POWER($I55*100,2)/8+FJ56)/$DH55,1)</f>
        <v>#N/A</v>
      </c>
      <c r="EX55" s="87" t="e">
        <f>ROUNDUP(5*$DW55*POWER($I55*100,4)/(384*VLOOKUP(VALUE(RIGHT($J55,4)),許容応力!$B$6:$K$22,10)*100*$DO55),2)+GB56</f>
        <v>#N/A</v>
      </c>
      <c r="EY55" s="87"/>
      <c r="EZ55" s="87" t="e">
        <f>ROUNDUP(($CY55*POWER($I55*100,2)/8+FJ56)/$DI55,1)</f>
        <v>#N/A</v>
      </c>
      <c r="FA55" s="87" t="e">
        <f>ROUNDUP(5*$CY55*POWER($I55*100,4)/(384*VLOOKUP(VALUE(RIGHT($J55,4)),許容応力!$B$6:$K$22,10)*100*$DU55),2)+GE56</f>
        <v>#N/A</v>
      </c>
      <c r="FB55" s="410" t="s">
        <v>1005</v>
      </c>
      <c r="FC55" s="3" t="s">
        <v>1007</v>
      </c>
      <c r="FD55" s="3" t="s">
        <v>1008</v>
      </c>
      <c r="FE55" s="3" t="s">
        <v>1009</v>
      </c>
      <c r="FF55" s="3" t="s">
        <v>1010</v>
      </c>
      <c r="FG55" s="410" t="s">
        <v>1006</v>
      </c>
      <c r="FH55" s="410" t="s">
        <v>1016</v>
      </c>
      <c r="FI55" s="3" t="s">
        <v>258</v>
      </c>
      <c r="FK55" s="3" t="s">
        <v>189</v>
      </c>
      <c r="FL55" s="3" t="s">
        <v>18</v>
      </c>
      <c r="FM55" s="412" t="s">
        <v>1013</v>
      </c>
      <c r="FN55" s="349" t="s">
        <v>1014</v>
      </c>
      <c r="FO55" s="412" t="s">
        <v>1015</v>
      </c>
      <c r="FP55" s="412" t="s">
        <v>1013</v>
      </c>
      <c r="FQ55" s="349" t="s">
        <v>1014</v>
      </c>
      <c r="FR55" s="412" t="s">
        <v>1015</v>
      </c>
      <c r="FS55" s="3" t="s">
        <v>1223</v>
      </c>
      <c r="FT55" s="3" t="s">
        <v>1224</v>
      </c>
      <c r="FU55" s="412" t="s">
        <v>1065</v>
      </c>
      <c r="FV55" s="349" t="s">
        <v>1066</v>
      </c>
      <c r="FW55" s="412" t="s">
        <v>1067</v>
      </c>
      <c r="FX55" s="412" t="s">
        <v>1065</v>
      </c>
      <c r="FY55" s="349" t="s">
        <v>1066</v>
      </c>
      <c r="FZ55" s="412" t="s">
        <v>1067</v>
      </c>
    </row>
    <row r="56" spans="2:187" ht="15.95" customHeight="1" x14ac:dyDescent="0.15">
      <c r="B56" s="1650"/>
      <c r="C56" s="1339"/>
      <c r="D56" s="331"/>
      <c r="E56" s="1577"/>
      <c r="F56" s="1577"/>
      <c r="G56" s="1563"/>
      <c r="H56" s="1563"/>
      <c r="I56" s="1563"/>
      <c r="J56" s="1565"/>
      <c r="K56" s="1567">
        <f>+IF(J55=0,0,"丸太末口 φ")</f>
        <v>0</v>
      </c>
      <c r="L56" s="1568"/>
      <c r="M56" s="832">
        <f>IF(J55=0,0,+EQ56)</f>
        <v>0</v>
      </c>
      <c r="N56" s="833" t="str">
        <f t="shared" si="157"/>
        <v/>
      </c>
      <c r="O56" s="1571"/>
      <c r="P56" s="1476"/>
      <c r="Q56" s="1488"/>
      <c r="R56" s="1488"/>
      <c r="S56" s="1576"/>
      <c r="T56" s="1488"/>
      <c r="U56" s="1488"/>
      <c r="V56" s="1019" t="str">
        <f>+AD$184</f>
        <v/>
      </c>
      <c r="W56" s="1577"/>
      <c r="X56" s="1486"/>
      <c r="Y56" s="1643"/>
      <c r="Z56" s="1643"/>
      <c r="AA56" s="1647"/>
      <c r="AB56" s="1124"/>
      <c r="AC56" s="834" t="str">
        <f t="shared" si="159"/>
        <v/>
      </c>
      <c r="AD56" s="834" t="str">
        <f t="shared" si="160"/>
        <v/>
      </c>
      <c r="AE56" s="1467"/>
      <c r="AF56" s="834" t="str">
        <f t="shared" si="161"/>
        <v/>
      </c>
      <c r="AG56" s="834" t="str">
        <f t="shared" si="162"/>
        <v/>
      </c>
      <c r="AH56" s="1474"/>
      <c r="AI56" s="835"/>
      <c r="AJ56" s="836"/>
      <c r="AK56" s="837"/>
      <c r="AL56" s="838"/>
      <c r="AM56" s="1469"/>
      <c r="AN56" s="1632"/>
      <c r="AO56" s="1636"/>
      <c r="AP56" s="839">
        <f>+IF(I55=0,0,"1/")</f>
        <v>0</v>
      </c>
      <c r="AQ56" s="840">
        <f>IF(I55=0,0,+DN56)</f>
        <v>0</v>
      </c>
      <c r="AR56" s="23"/>
      <c r="AS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1312"/>
      <c r="CN56" s="1301"/>
      <c r="CO56" s="548"/>
      <c r="CP56" s="9" t="e">
        <f>ROUNDUP(CX56*I55*100/2/DL56,2)</f>
        <v>#N/A</v>
      </c>
      <c r="CQ56" s="9" t="e">
        <f>ROUNDUP(CY56*I55*100/2/DM56,2)</f>
        <v>#N/A</v>
      </c>
      <c r="CR56" s="9" t="e">
        <f t="shared" si="165"/>
        <v>#N/A</v>
      </c>
      <c r="CS56" s="9">
        <f t="shared" ref="CS56" si="171">IF(M56=0,0,ROUNDUP(SQRT(AA56*(M56/10-6)*(M56/10-3))/(X56*X56),2))</f>
        <v>0</v>
      </c>
      <c r="CT56" s="58"/>
      <c r="CU56" s="78"/>
      <c r="CV56" s="78">
        <f>ROUNDUP(IF(VALUE(RIGHT($G$3,4))=1,$I$3*30*F57*100,$I$3*20*F57*100),0)</f>
        <v>0</v>
      </c>
      <c r="CW56" s="78"/>
      <c r="CX56" s="78" t="e">
        <f>ROUNDUP((準備!$F$60/100+準備!$C$48/100)*($G55+$H55)/2,2)</f>
        <v>#N/A</v>
      </c>
      <c r="CY56" s="78" t="e">
        <f>ROUNDUP((準備!$F$60/100+準備!$E$48/100)*($G55+$H55)/2,2)</f>
        <v>#N/A</v>
      </c>
      <c r="CZ56" s="78">
        <f>IF(K56=0,0,ROUNDUP(($CX56*POWER($I55*100,2)/8+FJ56)/$DF56,1))</f>
        <v>0</v>
      </c>
      <c r="DA56" s="63" t="e">
        <f>ROUNDUP(5*$CY56*POWER($I55*100,4)/(384*VLOOKUP(VALUE(RIGHT($J55,4)),許容応力!$L$6:$U$22,10)*100*$DG56),2)+FQ56</f>
        <v>#N/A</v>
      </c>
      <c r="DB56" s="78" t="e">
        <f>ROUND((CX56*I55*100/2)/Z55,1)</f>
        <v>#N/A</v>
      </c>
      <c r="DC56" s="78" t="e">
        <f>ROUNDUP(($CY56*POWER($I55*100,2)/8+FJ56)/$DF56,1)</f>
        <v>#N/A</v>
      </c>
      <c r="DD56" s="63" t="e">
        <f>ROUNDUP(5*$CY56*POWER($I55*100,4)/(384*VLOOKUP(VALUE(RIGHT($J55,4)),許容応力!$L$6:$U$22,10)*100*$DG56),2)+FQ56</f>
        <v>#N/A</v>
      </c>
      <c r="DE56" s="78" t="e">
        <f>ROUND((CY56*I55*100/2)/Z55,1)</f>
        <v>#N/A</v>
      </c>
      <c r="DF56" s="63">
        <f>IF(M56&lt;180,ROUND((M56/10-3)*POWER(M56/10-3,2)/6*IF(AB56=0,1,AB56),0),ROUND((M56/10-5)*POWER(M56/10-3,2)/6*IF($AB56=0,1,$AB56),0))</f>
        <v>-5</v>
      </c>
      <c r="DG56" s="63">
        <f>ROUND(IF(M56&lt;180,(M56/10-3)*POWER((M56/10-3),3)/12*IF(AB56=0,1,AB56),(M56/10-4))*POWER((M56/10-3),3)/12*IF(AB56=0,1,AB56),0)</f>
        <v>-15</v>
      </c>
      <c r="DH56" s="10" t="e">
        <f>IF($DN$6=2,ROUND(VLOOKUP(DQ56,許容応力!$L$6:$U$22,7)*1.1/3*100,0),ROUND(VLOOKUP(DQ56,許容応力!$L$6:$U$22,7)*1.1/3*1.3*100,0))</f>
        <v>#VALUE!</v>
      </c>
      <c r="DI56" s="63" t="e">
        <f>ROUND(VLOOKUP(DQ56,許容応力!$L$6:$U$22,7)*100*2/3*0.8,0)</f>
        <v>#VALUE!</v>
      </c>
      <c r="DJ56" s="10" t="e">
        <f>IF($DN$6=2,ROUND(VLOOKUP(DQ56,許容応力!$L$6:$U$22,8)*1.1/3*100,0),ROUND(VLOOKUP(DQ56,許容応力!$L$6:$U$22,8)*1.1/3*1.3*100,0))</f>
        <v>#VALUE!</v>
      </c>
      <c r="DK56" s="63" t="e">
        <f>ROUND(VLOOKUP(DQ56,許容応力!$L$6:$U$22,8)*100*2/3*0.8,0)</f>
        <v>#VALUE!</v>
      </c>
      <c r="DL56" s="10" t="e">
        <f>IF($DN$6=2,ROUND(VLOOKUP(DQ56,許容応力!$L$6:$U$22,9)*1.1/3*100,0),ROUND(VLOOKUP(DQ56,許容応力!$L$6:$U$22,9)*1.1/3*1.3*100,0))</f>
        <v>#VALUE!</v>
      </c>
      <c r="DM56" s="63" t="e">
        <f>ROUND(VLOOKUP(DQ56,許容応力!$L$6:$U$22,9)*100*2/3*0.8,0)</f>
        <v>#VALUE!</v>
      </c>
      <c r="DN56" s="63">
        <v>600</v>
      </c>
      <c r="DO56" s="78">
        <f>ROUND(I55*100/DN56,2)</f>
        <v>0</v>
      </c>
      <c r="DP56" s="78"/>
      <c r="DQ56" s="78" t="e">
        <f>+VALUE(RIGHT(J55,3))</f>
        <v>#VALUE!</v>
      </c>
      <c r="DR56" s="92" t="e">
        <f>ROUND(ATAN(D57/10)*180/PI(),4)</f>
        <v>#VALUE!</v>
      </c>
      <c r="DS56" s="80" t="e">
        <f t="shared" si="167"/>
        <v>#VALUE!</v>
      </c>
      <c r="DT56" s="78">
        <f>VLOOKUP(VALUE(RIGHT(C55,4)),$C$632:$F$641,4)</f>
        <v>225</v>
      </c>
      <c r="DU56" s="78">
        <f>ROUND(I55*100/DT56,2)</f>
        <v>0</v>
      </c>
      <c r="DV56" s="78"/>
      <c r="DW56" s="78" t="e">
        <f>ROUNDUP((準備!$F$60/100+準備!$E$48/100)*($G55+$H55)/2,2)</f>
        <v>#N/A</v>
      </c>
      <c r="DX56" s="78" t="e">
        <f>ROUNDUP((準備!$F$60/100+準備!$E$48/100)*($G55+$H55)/2,2)</f>
        <v>#N/A</v>
      </c>
      <c r="DY56" s="71">
        <f>IF(I55&lt;6,POWER(M56/10,2)*I55/10000,POWER((M56/10+(ROUNDDOWN(I55,0)-4)/2),2)*I55/10000)</f>
        <v>0</v>
      </c>
      <c r="DZ56" s="78">
        <v>200</v>
      </c>
      <c r="EA56" s="93">
        <f>ROUND(DY56*DZ56/100,0)</f>
        <v>0</v>
      </c>
      <c r="EB56" s="78" t="e">
        <f>ROUND((CX56*I55*100/2+EA56)/AM56,1)</f>
        <v>#N/A</v>
      </c>
      <c r="EC56" s="78" t="e">
        <f t="shared" si="168"/>
        <v>#N/A</v>
      </c>
      <c r="ED56" s="78" t="e">
        <f>ROUND((CY56*I55*100/2+EA56)/AM56,1)</f>
        <v>#N/A</v>
      </c>
      <c r="EE56" s="78" t="e">
        <f t="shared" si="169"/>
        <v>#N/A</v>
      </c>
      <c r="EF56" s="78"/>
      <c r="EG56" s="78" t="e">
        <f>+VALUE(RIGHT(H57,4))</f>
        <v>#VALUE!</v>
      </c>
      <c r="EH56" s="78"/>
      <c r="EI56" s="78" t="str">
        <f>IF(M56=0,"",ROUND(CX56*I55*100/2/DJ56,2))</f>
        <v/>
      </c>
      <c r="EJ56" s="78" t="str">
        <f>IF(M56=0,"",ROUND(CY56*I55*100/2/DK56,2))</f>
        <v/>
      </c>
      <c r="EK56" s="78"/>
      <c r="EL56" s="63" t="e">
        <f>IF(AB56=0.8,VLOOKUP(ER56,$CR$395:$CS$439,2),IF(AB56=0.9,VLOOKUP(ER56,$CR$348:$CS$394,2),VLOOKUP(ER56,$CR$301:$CS$344,2)))</f>
        <v>#N/A</v>
      </c>
      <c r="EM56" s="63" t="e">
        <f>IF(AB56=0.8,VLOOKUP(ES56,$CT$395:$CU$439,2),IF(AB56=0.9,VLOOKUP(ES56,$CT$348:$CU$394,2),VLOOKUP(ES56,$CT$301:$CU$344,2)))</f>
        <v>#N/A</v>
      </c>
      <c r="EO56" s="63" t="e">
        <f>IF(AB56=0.8,VLOOKUP(EU56,$CR$395:$CS$439,2),IF(AB56=0.9,VLOOKUP(EU56,$CR$348:$CS$394,2),VLOOKUP(EU56,$CR$301:$CS$344,2)))</f>
        <v>#N/A</v>
      </c>
      <c r="EP56" s="63" t="e">
        <f>IF(AB56=0.8,VLOOKUP(EV56,$CT$395:$CU$439,2),IF(AB56=0.9,VLOOKUP(EV56,$CT$348:$CU$394,2),VLOOKUP(EV56,$CT$301:$CU$344,2)))</f>
        <v>#N/A</v>
      </c>
      <c r="EQ56" s="155" t="e">
        <f t="shared" si="170"/>
        <v>#N/A</v>
      </c>
      <c r="ER56" s="78" t="e">
        <f>ROUNDUP(($CX56*POWER($I55*100,2)/8+FJ56)/$DH56,1)</f>
        <v>#N/A</v>
      </c>
      <c r="ES56" s="78" t="e">
        <f>ROUNDUP(5*$DW56*POWER($I55*100,4)/(384*VLOOKUP(VALUE(RIGHT($J55,4)),許容応力!$B$6:$K$22,10)*100*$DO56),2)+GB56</f>
        <v>#N/A</v>
      </c>
      <c r="ET56" s="78"/>
      <c r="EU56" s="78" t="e">
        <f>ROUNDUP(($CY56*POWER($I55*100,2)/8+FJ56)/$DI56,1)</f>
        <v>#N/A</v>
      </c>
      <c r="EV56" s="78" t="e">
        <f>ROUNDUP(5*$CY56*POWER($I55*100,4)/(384*VLOOKUP(VALUE(RIGHT($J55,4)),許容応力!$B$6:$K$22,10)*100*$DU56),2)+GE56</f>
        <v>#N/A</v>
      </c>
      <c r="EW56" s="78"/>
      <c r="EX56" s="78"/>
      <c r="EY56" s="78"/>
      <c r="EZ56" s="78"/>
      <c r="FA56" s="78"/>
      <c r="FB56" s="3">
        <v>1</v>
      </c>
      <c r="FC56" s="3">
        <v>2</v>
      </c>
      <c r="FD56" s="3">
        <v>3</v>
      </c>
      <c r="FE56" s="3">
        <v>4</v>
      </c>
      <c r="FF56" s="3">
        <v>5</v>
      </c>
      <c r="FG56" s="3">
        <v>6</v>
      </c>
      <c r="FI56" s="3" t="s">
        <v>1019</v>
      </c>
      <c r="FJ56" s="63">
        <f>IF(F57=0,0,ROUND(EH55*POWER(I55*100,2)/8,2))</f>
        <v>0</v>
      </c>
      <c r="FK56" s="3">
        <f>IF(F57=0,0,ROUND(5*EH55*POWER(I55*100,4)/(384*FL56),2))</f>
        <v>0</v>
      </c>
      <c r="FL56" s="642">
        <f>IF(F57=0,0,+VLOOKUP(VALUE(RIGHT(J55,4)),許容応力!$B$6:$K$22,10)*100)</f>
        <v>0</v>
      </c>
      <c r="FM56" s="3">
        <f>IF(F57=0,0,ROUND((FJ56)/DF55,1))</f>
        <v>0</v>
      </c>
      <c r="FN56" s="3">
        <f>IF(F57=0,0,ROUND(FK56/DG55,2))</f>
        <v>0</v>
      </c>
      <c r="FO56" s="3">
        <f>IF(F57=0,0,ROUND(FJ57/Z55,1))</f>
        <v>0</v>
      </c>
      <c r="FP56" s="3">
        <f>+FM56</f>
        <v>0</v>
      </c>
      <c r="FQ56" s="3">
        <f>+FN56</f>
        <v>0</v>
      </c>
      <c r="FR56" s="3">
        <f>+FO56</f>
        <v>0</v>
      </c>
      <c r="FS56" s="3">
        <f>IF(F57=0,0,ROUND(VLOOKUP(VALUE(RIGHT(J55,4)),許容応力!$B$6:$K$22,9)*1.1/3*100,0))</f>
        <v>0</v>
      </c>
      <c r="FT56" s="3">
        <f>IF(F57=0,0,ROUND(VLOOKUP(VALUE(RIGHT($J55,4)),許容応力!$B$6:$K$22,9)*2/3*0.8*100,0))</f>
        <v>0</v>
      </c>
      <c r="FU56" s="3">
        <f>IF(F57=0,0,ROUND(FM56/CZ55,2))</f>
        <v>0</v>
      </c>
      <c r="FV56" s="3">
        <f>IF(F57=0,0,ROUND(FN56/DA55,2))</f>
        <v>0</v>
      </c>
      <c r="FW56" s="3">
        <f>IF(F57=0,0,ROUND(FO56/DB55,2))</f>
        <v>0</v>
      </c>
      <c r="FX56" s="3">
        <f>IF(F57=0,0,ROUND(FP56/DC55,2))</f>
        <v>0</v>
      </c>
      <c r="FY56" s="3">
        <f>IF(F57=0,0,ROUND(FQ56/DD55,2))</f>
        <v>0</v>
      </c>
      <c r="FZ56" s="3">
        <f>IF(F57=0,0,ROUND(FR56/DE55,2))</f>
        <v>0</v>
      </c>
      <c r="GA56" s="87">
        <f>IF(F57=0,0,ROUNDUP(EH55*POWER(I55*100,2)/8/DH55,1))</f>
        <v>0</v>
      </c>
      <c r="GB56" s="87">
        <f>IF(F57=0,0,ROUNDUP(5*EH55*POWER(I55*100,4)/(384*VLOOKUP(VALUE(RIGHT($J55,4)),許容応力!$B$6:$K$22,10)*100*$DO55),2))</f>
        <v>0</v>
      </c>
      <c r="GC56" s="87"/>
      <c r="GD56" s="87">
        <f>+GA56</f>
        <v>0</v>
      </c>
      <c r="GE56" s="87">
        <f>+GB56</f>
        <v>0</v>
      </c>
    </row>
    <row r="57" spans="2:187" ht="15.95" customHeight="1" thickBot="1" x14ac:dyDescent="0.2">
      <c r="B57" s="1650"/>
      <c r="C57" s="1596"/>
      <c r="D57" s="1580" t="s">
        <v>1248</v>
      </c>
      <c r="E57" s="1581"/>
      <c r="F57" s="1126"/>
      <c r="G57" s="280" t="s">
        <v>1250</v>
      </c>
      <c r="H57" s="1127"/>
      <c r="I57" s="841" t="s">
        <v>1004</v>
      </c>
      <c r="J57" s="1114"/>
      <c r="K57" s="842"/>
      <c r="L57" s="843"/>
      <c r="M57" s="841"/>
      <c r="N57" s="843"/>
      <c r="O57" s="915"/>
      <c r="P57" s="844"/>
      <c r="Q57" s="879"/>
      <c r="R57" s="879"/>
      <c r="S57" s="880"/>
      <c r="T57" s="879"/>
      <c r="U57" s="879"/>
      <c r="V57" s="843"/>
      <c r="W57" s="845"/>
      <c r="X57" s="846"/>
      <c r="Y57" s="847"/>
      <c r="Z57" s="874"/>
      <c r="AA57" s="845"/>
      <c r="AB57" s="1148"/>
      <c r="AC57" s="848"/>
      <c r="AD57" s="848"/>
      <c r="AE57" s="845"/>
      <c r="AF57" s="848"/>
      <c r="AG57" s="848"/>
      <c r="AH57" s="849"/>
      <c r="AI57" s="850"/>
      <c r="AJ57" s="851"/>
      <c r="AK57" s="852"/>
      <c r="AL57" s="853"/>
      <c r="AM57" s="847"/>
      <c r="AN57" s="847"/>
      <c r="AO57" s="854"/>
      <c r="AP57" s="184"/>
      <c r="AQ57" s="185"/>
      <c r="AR57" s="23"/>
      <c r="AS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916"/>
      <c r="CO57" s="548"/>
      <c r="CP57" s="9"/>
      <c r="CQ57" s="9"/>
      <c r="CR57" s="9"/>
      <c r="CS57" s="9"/>
      <c r="CT57" s="58"/>
      <c r="CU57" s="78"/>
      <c r="CV57" s="78"/>
      <c r="CW57" s="78"/>
      <c r="CX57" s="78"/>
      <c r="CY57" s="78"/>
      <c r="CZ57" s="78"/>
      <c r="DA57" s="63"/>
      <c r="DB57" s="78"/>
      <c r="DC57" s="78"/>
      <c r="DD57" s="63"/>
      <c r="DE57" s="78"/>
      <c r="DF57" s="63"/>
      <c r="DG57" s="63"/>
      <c r="DH57" s="10"/>
      <c r="DI57" s="63"/>
      <c r="DJ57" s="10"/>
      <c r="DK57" s="63"/>
      <c r="DL57" s="10"/>
      <c r="DM57" s="63"/>
      <c r="DN57" s="63"/>
      <c r="DO57" s="78"/>
      <c r="DP57" s="78"/>
      <c r="DQ57" s="78"/>
      <c r="DR57" s="92"/>
      <c r="DS57" s="80"/>
      <c r="DT57" s="78"/>
      <c r="DU57" s="78"/>
      <c r="DV57" s="78"/>
      <c r="DW57" s="78"/>
      <c r="DX57" s="78"/>
      <c r="DY57" s="71"/>
      <c r="DZ57" s="78"/>
      <c r="EA57" s="93"/>
      <c r="EB57" s="78"/>
      <c r="EC57" s="78"/>
      <c r="ED57" s="78"/>
      <c r="EE57" s="78"/>
      <c r="EF57" s="78"/>
      <c r="EG57" s="78"/>
      <c r="EH57" s="78"/>
      <c r="EI57" s="78"/>
      <c r="EJ57" s="78"/>
      <c r="EK57" s="78"/>
      <c r="EL57" s="63"/>
      <c r="EM57" s="63"/>
      <c r="EO57" s="63"/>
      <c r="EP57" s="63"/>
      <c r="EQ57" s="155"/>
      <c r="ER57" s="78"/>
      <c r="ES57" s="78"/>
      <c r="ET57" s="78"/>
      <c r="EU57" s="78"/>
      <c r="EV57" s="78"/>
      <c r="EW57" s="78"/>
      <c r="EX57" s="78"/>
      <c r="EY57" s="78"/>
      <c r="EZ57" s="78"/>
      <c r="FA57" s="78"/>
      <c r="FB57" s="128">
        <f>+準備!$G$20/100*J57</f>
        <v>0</v>
      </c>
      <c r="FC57" s="128">
        <f>+準備!$G$24/100*J57</f>
        <v>0</v>
      </c>
      <c r="FD57" s="128">
        <f>+準備!$G$28/100*J57</f>
        <v>0</v>
      </c>
      <c r="FE57" s="128">
        <f>+準備!$G$32/100*J57</f>
        <v>0</v>
      </c>
      <c r="FF57" s="128">
        <f>+準備!$G$36/100*J57</f>
        <v>0</v>
      </c>
      <c r="FG57" s="128">
        <f>+準備!$G$38/100*J57</f>
        <v>0</v>
      </c>
      <c r="FI57" s="3" t="s">
        <v>1018</v>
      </c>
      <c r="FJ57" s="63">
        <f>IF(F57=0,0,ROUND(EH55*I55*100/2,2))</f>
        <v>0</v>
      </c>
      <c r="FK57" s="63"/>
      <c r="FM57" s="3">
        <f t="shared" ref="FM57:FR57" si="172">+FM56</f>
        <v>0</v>
      </c>
      <c r="FN57" s="3">
        <f t="shared" si="172"/>
        <v>0</v>
      </c>
      <c r="FO57" s="3">
        <f t="shared" si="172"/>
        <v>0</v>
      </c>
      <c r="FP57" s="3">
        <f t="shared" si="172"/>
        <v>0</v>
      </c>
      <c r="FQ57" s="3">
        <f t="shared" si="172"/>
        <v>0</v>
      </c>
      <c r="FR57" s="3">
        <f t="shared" si="172"/>
        <v>0</v>
      </c>
      <c r="FS57" s="3">
        <f>IF(F57=0,0,ROUND(EH55*I55*100/2/FS56/AM55,2))</f>
        <v>0</v>
      </c>
      <c r="FT57" s="3">
        <f>IF(F57=0,0,ROUND(EH55*I55*100/2/FT56/AM55,2))</f>
        <v>0</v>
      </c>
      <c r="FU57" s="3">
        <f t="shared" ref="FU57:FZ57" si="173">+FU56</f>
        <v>0</v>
      </c>
      <c r="FV57" s="3">
        <f t="shared" si="173"/>
        <v>0</v>
      </c>
      <c r="FW57" s="3">
        <f t="shared" si="173"/>
        <v>0</v>
      </c>
      <c r="FX57" s="3">
        <f t="shared" si="173"/>
        <v>0</v>
      </c>
      <c r="FY57" s="3">
        <f t="shared" si="173"/>
        <v>0</v>
      </c>
      <c r="FZ57" s="3">
        <f t="shared" si="173"/>
        <v>0</v>
      </c>
    </row>
    <row r="58" spans="2:187" ht="15.95" customHeight="1" x14ac:dyDescent="0.15">
      <c r="B58" s="1650"/>
      <c r="C58" s="1339" t="s">
        <v>1285</v>
      </c>
      <c r="D58" s="331"/>
      <c r="E58" s="1576"/>
      <c r="F58" s="1577"/>
      <c r="G58" s="1563"/>
      <c r="H58" s="1563"/>
      <c r="I58" s="1563"/>
      <c r="J58" s="1565"/>
      <c r="K58" s="1117"/>
      <c r="L58" s="196">
        <f>+IF(K58=0,0,"×")</f>
        <v>0</v>
      </c>
      <c r="M58" s="241">
        <f>IF(K58=0,0,+EQ58)</f>
        <v>0</v>
      </c>
      <c r="N58" s="242" t="str">
        <f t="shared" ref="N58:N59" si="174">IF(AC58=+"","",IF(AND(AC58&lt;=1,AD58&lt;=1,AF58&lt;=1,AG58&lt;=1),"OK!","NO!"))</f>
        <v/>
      </c>
      <c r="O58" s="1520">
        <f>IF(Z58=0,0,IF(AND(U58=0,X58=0),0,IF(IF(AE58&gt;=AH58,AE58,AH58)&lt;=1,"OK!","NO!")))</f>
        <v>0</v>
      </c>
      <c r="P58" s="1476"/>
      <c r="Q58" s="1488"/>
      <c r="R58" s="1488"/>
      <c r="S58" s="1616">
        <f t="shared" ref="S58" si="175">+IF(R58=0,0,6)</f>
        <v>0</v>
      </c>
      <c r="T58" s="1488"/>
      <c r="U58" s="1488"/>
      <c r="V58" s="196" t="str">
        <f>+AE$185</f>
        <v/>
      </c>
      <c r="W58" s="1577">
        <f>IF(U58=0,0,+VLOOKUP(V58,$I$204:$J$209,2))</f>
        <v>0</v>
      </c>
      <c r="X58" s="1486"/>
      <c r="Y58" s="1468">
        <f>IF(X58=0,0,+CS58)</f>
        <v>0</v>
      </c>
      <c r="Z58" s="1313">
        <f>IF(AND(R58=0,X58=0),0,+IF(AND(VALUE(RIGHT(P58,4))=2,R58&gt;0),0,IF(AND(VALUE(RIGHT(P58,4))=1,X58&gt;0),0,CM58)))</f>
        <v>0</v>
      </c>
      <c r="AA58" s="1466">
        <f>IF(X58=0,0,IF(EI58&gt;=EJ58,EI58,EJ58))</f>
        <v>0</v>
      </c>
      <c r="AB58" s="1121"/>
      <c r="AC58" s="201" t="str">
        <f t="shared" ref="AC58:AC59" si="176">IF(M58=0,"",ROUNDUP(CZ58/DH58,2))</f>
        <v/>
      </c>
      <c r="AD58" s="201" t="str">
        <f t="shared" ref="AD58:AD59" si="177">IF(M58=0,"",ROUND(DA58/DO58,2))</f>
        <v/>
      </c>
      <c r="AE58" s="1466">
        <f>IF(G58=+"",0,IF(AND(U58=0,X58=0),0,IF(X58=0,ROUND(DB58/(DJ58*$CP$4*W58),2),ROUND(DB58/DJ58,2))))</f>
        <v>0</v>
      </c>
      <c r="AF58" s="201" t="str">
        <f t="shared" ref="AF58:AF59" si="178">IF(M58=0,"",ROUNDUP(DC58/DI58,2))</f>
        <v/>
      </c>
      <c r="AG58" s="201" t="str">
        <f t="shared" ref="AG58:AG59" si="179">IF(M58=0,"",ROUNDUP(DD58/DU58,2))</f>
        <v/>
      </c>
      <c r="AH58" s="1466">
        <f>IF(G58=+"",0,IF(AND(U58=0,X58=0),0,IF(X58=0,ROUND(DE58/(DK58*$CP$4*W58),2),ROUND(DE58/DK58,2))))</f>
        <v>0</v>
      </c>
      <c r="AI58" s="818"/>
      <c r="AJ58" s="811"/>
      <c r="AK58" s="823"/>
      <c r="AL58" s="812"/>
      <c r="AM58" s="1631">
        <f>IF(AI58=0,0,ROUND(AI58*AJ58+AK58*AL58+AI59*AJ59+AK59*AL59,2))</f>
        <v>0</v>
      </c>
      <c r="AN58" s="1631">
        <f t="shared" ref="AN58" si="180">IF(AJ58=0,0,IF(CO58=1,CN58/($CP$4*W58),CN58))</f>
        <v>0</v>
      </c>
      <c r="AO58" s="1635" t="str">
        <f t="shared" ref="AO58" si="181">IF(AN58=0,"",IF(AN58&lt;=1,"OK!","NO!"))</f>
        <v/>
      </c>
      <c r="AP58" s="186">
        <f>+IF(I58=0,0,"1/")</f>
        <v>0</v>
      </c>
      <c r="AQ58" s="187">
        <f>IF(I58=0,0,+DN58)</f>
        <v>0</v>
      </c>
      <c r="AR58" s="23"/>
      <c r="AS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1313">
        <f>IF(AND(U58=0,X58=0),0,IF(U58&gt;0,AE$196/100*$CP$4*W58,ROUND(POWER(X58*Y58,2)/(K58/10*M58/10),2)))</f>
        <v>0</v>
      </c>
      <c r="CN58" s="1304" t="str">
        <f>IF($AJ58=0,"",IF($EC58&gt;=$EE58,$EC58+FN59,$EE58+FN59))</f>
        <v/>
      </c>
      <c r="CO58" s="552">
        <f>IF(P58=0,0,+VALUE(RIGHT(P58,4)))</f>
        <v>0</v>
      </c>
      <c r="CP58" s="91" t="e">
        <f>ROUNDUP(CX58*I58*100/2/DL58,2)</f>
        <v>#N/A</v>
      </c>
      <c r="CQ58" s="91" t="e">
        <f>ROUNDUP(CY58*I58*100/2/DM58,2)</f>
        <v>#N/A</v>
      </c>
      <c r="CR58" s="91" t="e">
        <f t="shared" ref="CR58:CR59" si="182">IF(CP58&gt;=CQ58,CP58,CQ58)</f>
        <v>#N/A</v>
      </c>
      <c r="CS58" s="9">
        <f>IF(M58=0,0,IF(F60=0,ROUNDUP(SQRT((AA58*K58/10*M58/10)/(X58*X58)),2),0))</f>
        <v>0</v>
      </c>
      <c r="CT58" s="94"/>
      <c r="CU58" s="95"/>
      <c r="CV58" s="87">
        <f>ROUNDUP(IF(VALUE(RIGHT($G$3,4))=1,$I$3*30*F60*100,$I$3*20*F60*100),0)</f>
        <v>0</v>
      </c>
      <c r="CW58" s="87"/>
      <c r="CX58" s="87" t="e">
        <f>ROUNDUP((準備!$F$60/100+準備!$C$48/100)*($G58+$H58)/2,2)</f>
        <v>#N/A</v>
      </c>
      <c r="CY58" s="87" t="e">
        <f>ROUNDUP((準備!$F$60/100+準備!$E$48/100)*($G58+$H58)/2,2)</f>
        <v>#N/A</v>
      </c>
      <c r="CZ58" s="87" t="e">
        <f>IF(F60=0,ROUNDUP(CX58*POWER(I58*100,2)/8/DF58,1),ROUNDUP(($CX58*POWER($I58*100,2)/8+FJ59)/$DF58,1))</f>
        <v>#N/A</v>
      </c>
      <c r="DA58" s="87" t="e">
        <f>IF(F60=0,ROUNDUP(5*$DW58*POWER($I58*100,4)/(384*VLOOKUP(VALUE(RIGHT($J58,4)),許容応力!$B$6:$K$22,10)*100*$DG58),2)+FN59,0)</f>
        <v>#N/A</v>
      </c>
      <c r="DB58" s="87" t="e">
        <f>ROUND((CX58*I58*100/2)/Z58,1)</f>
        <v>#N/A</v>
      </c>
      <c r="DC58" s="87" t="e">
        <f>ROUNDUP(($CY58*POWER($I58*100,2)/8+FJ59)/$DF58,1)</f>
        <v>#N/A</v>
      </c>
      <c r="DD58" s="87" t="e">
        <f>ROUNDUP(5*$CY58*POWER($I58*100,4)/(384*VLOOKUP(VALUE(RIGHT($J58,4)),許容応力!$B$6:$K$22,10)*100*$DG58),2)+FQ59</f>
        <v>#N/A</v>
      </c>
      <c r="DE58" s="87" t="e">
        <f>ROUND((CY58*I58*100/2)/Z58,1)</f>
        <v>#N/A</v>
      </c>
      <c r="DF58" s="87">
        <f>IF(F60=0,ROUNDDOWN($K58/10*POWER($M58/10,2)/6*IF(OR($AB58=0,$AB58=1),1,$AB58),0),0)</f>
        <v>0</v>
      </c>
      <c r="DG58" s="87">
        <f>ROUNDDOWN($K58/10*POWER($M58/10,3)/12*IF(OR($AB58=0,$AB58=1),1,$AB58),0)</f>
        <v>0</v>
      </c>
      <c r="DH58" s="88" t="e">
        <f>VLOOKUP(DQ58,許容応力!$B$6:$K$22,7)*1.1/3*100</f>
        <v>#VALUE!</v>
      </c>
      <c r="DI58" s="87" t="e">
        <f>ROUND(VLOOKUP(DQ58,許容応力!$B$6:$K$22,7)*100*2/3*0.8,0)</f>
        <v>#VALUE!</v>
      </c>
      <c r="DJ58" s="10" t="e">
        <f>IF($DN$6=2,ROUND(VLOOKUP(DQ58,許容応力!$B$6:$K$22,8)*1.1/3*100,0),ROUND(VLOOKUP(DQ58,許容応力!$B$6:$K$22,8)*1.1/3*1.3*100,0))</f>
        <v>#VALUE!</v>
      </c>
      <c r="DK58" s="87" t="e">
        <f>ROUND(VLOOKUP(DQ58,許容応力!$B$6:$K$22,8)*100*2/3*0.8,0)</f>
        <v>#VALUE!</v>
      </c>
      <c r="DL58" s="10" t="e">
        <f>IF($DN$6=2,ROUND(VLOOKUP(DQ58,許容応力!$B$6:$K$22,9)*1.1/3*100,0),ROUND(VLOOKUP(DQ58,許容応力!$B$6:$K$22,9)*1.1/3*1.3*100,0))</f>
        <v>#VALUE!</v>
      </c>
      <c r="DM58" s="87" t="e">
        <f>ROUND(VLOOKUP(DQ58,許容応力!$B$6:$K$22,9)*100*2/3*0.8,0)</f>
        <v>#VALUE!</v>
      </c>
      <c r="DN58" s="63">
        <v>600</v>
      </c>
      <c r="DO58" s="87">
        <f>ROUND(I58*100/DN58,2)</f>
        <v>0</v>
      </c>
      <c r="DP58" s="87"/>
      <c r="DQ58" s="87" t="e">
        <f>+VALUE(RIGHT(J58,3))</f>
        <v>#VALUE!</v>
      </c>
      <c r="DR58" s="89" t="e">
        <f>ROUND(ATAN(D60/10)*180/PI(),4)</f>
        <v>#VALUE!</v>
      </c>
      <c r="DS58" s="90" t="e">
        <f t="shared" ref="DS58:DS59" si="183">ROUND(COS(DR58*PI()/180),3)</f>
        <v>#VALUE!</v>
      </c>
      <c r="DT58" s="87">
        <f>VLOOKUP(VALUE(RIGHT(C58,4)),$C$632:$F$641,4)</f>
        <v>225</v>
      </c>
      <c r="DU58" s="87">
        <f>ROUND(I58*100/DT58,2)</f>
        <v>0</v>
      </c>
      <c r="DV58" s="87"/>
      <c r="DW58" s="87" t="e">
        <f>ROUNDUP((準備!$F$60/100+準備!$E$48/100)*($G58+$H58)/2,2)</f>
        <v>#N/A</v>
      </c>
      <c r="DX58" s="87" t="e">
        <f>ROUNDUP((準備!$F$60/100+準備!$E$48/100)*($G58+$H58)/2,2)</f>
        <v>#N/A</v>
      </c>
      <c r="DY58" s="87"/>
      <c r="DZ58" s="87"/>
      <c r="EA58" s="87"/>
      <c r="EB58" s="87" t="e">
        <f>ROUND(CX58*I58*100/2/AM58,1)</f>
        <v>#N/A</v>
      </c>
      <c r="EC58" s="87" t="e">
        <f t="shared" ref="EC58:EC59" si="184">ROUND(EB58/DL58,2)</f>
        <v>#N/A</v>
      </c>
      <c r="ED58" s="87" t="e">
        <f>ROUND(CY58*I58*100/2/AM58,1)</f>
        <v>#N/A</v>
      </c>
      <c r="EE58" s="87" t="e">
        <f t="shared" ref="EE58:EE59" si="185">ROUND(ED58/DM58,2)</f>
        <v>#N/A</v>
      </c>
      <c r="EF58" s="87"/>
      <c r="EG58" s="87">
        <f>IF(F60=0,0,+VALUE(RIGHT(F60,4)))</f>
        <v>0</v>
      </c>
      <c r="EH58" s="3">
        <f>+IF(EG58=1,HLOOKUP(EG59,FB59:FG60,2),0)</f>
        <v>0</v>
      </c>
      <c r="EI58" s="87" t="str">
        <f>IF(M58=0,"",ROUND(CX58*I58*100/2/DJ58,2))</f>
        <v/>
      </c>
      <c r="EJ58" s="87" t="str">
        <f>IF(M58=0,"",ROUND(CY58*I58*100/2/DK58,2))</f>
        <v/>
      </c>
      <c r="EK58" s="87"/>
      <c r="EL58" s="63" t="e">
        <f>ROUNDUP(ER58/3,-1)*3</f>
        <v>#N/A</v>
      </c>
      <c r="EM58" s="63" t="e">
        <f>ROUNDUP(ES58/3,-1)*3</f>
        <v>#N/A</v>
      </c>
      <c r="EO58" s="63" t="e">
        <f>ROUNDUP(EU58/3,-1)*3</f>
        <v>#N/A</v>
      </c>
      <c r="EP58" s="63" t="e">
        <f>ROUNDUP(EV58/3,-1)*3</f>
        <v>#N/A</v>
      </c>
      <c r="EQ58" s="155" t="e">
        <f t="shared" ref="EQ58:EQ59" si="186">+MAX(EL58:EP58)</f>
        <v>#N/A</v>
      </c>
      <c r="ER58" s="87" t="e">
        <f>ROUNDUP(SQRT(EW58/($K58/10)*6/IF(OR($AB58=0,$AB58=1),1,$AB58)),0)*10</f>
        <v>#N/A</v>
      </c>
      <c r="ES58" s="87" t="e">
        <f>POWER(ROUNDUP(EX58/($K58/10)*12/IF(OR($AB58=0,$AB58=1),1,$AB58),0),1/3)*10</f>
        <v>#N/A</v>
      </c>
      <c r="EU58" s="87" t="e">
        <f>ROUNDUP(SQRT(EZ58/($K58/10)*6/IF(OR($AB58=0,$AB58=1),1,$AB58))*10,0)</f>
        <v>#N/A</v>
      </c>
      <c r="EV58" s="87" t="e">
        <f>POWER(ROUNDUP(FA58/($K58/10)*12/IF(OR($AB58=0,$AB58=1),1,$AB58),0),1/3)*10</f>
        <v>#N/A</v>
      </c>
      <c r="EW58" s="87" t="e">
        <f>ROUNDUP(($CX58*POWER($I58*100,2)/8+FJ59)/$DH58,1)</f>
        <v>#N/A</v>
      </c>
      <c r="EX58" s="87" t="e">
        <f>ROUNDUP(5*$DW58*POWER($I58*100,4)/(384*VLOOKUP(VALUE(RIGHT($J58,4)),許容応力!$B$6:$K$22,10)*100*$DO58),2)+GB59</f>
        <v>#N/A</v>
      </c>
      <c r="EY58" s="87"/>
      <c r="EZ58" s="87" t="e">
        <f>ROUNDUP(($CY58*POWER($I58*100,2)/8+FJ59)/$DI58,1)</f>
        <v>#N/A</v>
      </c>
      <c r="FA58" s="87" t="e">
        <f>ROUNDUP(5*$CY58*POWER($I58*100,4)/(384*VLOOKUP(VALUE(RIGHT($J58,4)),許容応力!$B$6:$K$22,10)*100*$DU58),2)+GE59</f>
        <v>#N/A</v>
      </c>
      <c r="FB58" s="410" t="s">
        <v>1005</v>
      </c>
      <c r="FC58" s="3" t="s">
        <v>1007</v>
      </c>
      <c r="FD58" s="3" t="s">
        <v>1008</v>
      </c>
      <c r="FE58" s="3" t="s">
        <v>1009</v>
      </c>
      <c r="FF58" s="3" t="s">
        <v>1010</v>
      </c>
      <c r="FG58" s="410" t="s">
        <v>1006</v>
      </c>
      <c r="FH58" s="410" t="s">
        <v>1016</v>
      </c>
      <c r="FI58" s="3" t="s">
        <v>258</v>
      </c>
      <c r="FK58" s="3" t="s">
        <v>189</v>
      </c>
      <c r="FL58" s="3" t="s">
        <v>18</v>
      </c>
      <c r="FM58" s="412" t="s">
        <v>1013</v>
      </c>
      <c r="FN58" s="349" t="s">
        <v>1014</v>
      </c>
      <c r="FO58" s="412" t="s">
        <v>1015</v>
      </c>
      <c r="FP58" s="412" t="s">
        <v>1013</v>
      </c>
      <c r="FQ58" s="349" t="s">
        <v>1014</v>
      </c>
      <c r="FR58" s="412" t="s">
        <v>1015</v>
      </c>
      <c r="FS58" s="3" t="s">
        <v>1223</v>
      </c>
      <c r="FT58" s="3" t="s">
        <v>1224</v>
      </c>
      <c r="FU58" s="412" t="s">
        <v>1065</v>
      </c>
      <c r="FV58" s="349" t="s">
        <v>1066</v>
      </c>
      <c r="FW58" s="412" t="s">
        <v>1067</v>
      </c>
      <c r="FX58" s="412" t="s">
        <v>1065</v>
      </c>
      <c r="FY58" s="349" t="s">
        <v>1066</v>
      </c>
      <c r="FZ58" s="412" t="s">
        <v>1067</v>
      </c>
    </row>
    <row r="59" spans="2:187" ht="15.95" customHeight="1" x14ac:dyDescent="0.15">
      <c r="B59" s="1650"/>
      <c r="C59" s="1339"/>
      <c r="D59" s="831"/>
      <c r="E59" s="1578"/>
      <c r="F59" s="1578"/>
      <c r="G59" s="1564"/>
      <c r="H59" s="1564"/>
      <c r="I59" s="1564"/>
      <c r="J59" s="1566"/>
      <c r="K59" s="1567">
        <f>+IF(J58=0,0,"丸太末口 φ")</f>
        <v>0</v>
      </c>
      <c r="L59" s="1568"/>
      <c r="M59" s="832">
        <f>IF(J58=0,0,+EQ59)</f>
        <v>0</v>
      </c>
      <c r="N59" s="833" t="str">
        <f t="shared" si="174"/>
        <v/>
      </c>
      <c r="O59" s="1571"/>
      <c r="P59" s="1477"/>
      <c r="Q59" s="1489"/>
      <c r="R59" s="1489"/>
      <c r="S59" s="1576"/>
      <c r="T59" s="1489"/>
      <c r="U59" s="1489"/>
      <c r="V59" s="1022" t="str">
        <f>+AE$184</f>
        <v/>
      </c>
      <c r="W59" s="1578"/>
      <c r="X59" s="1487"/>
      <c r="Y59" s="1469"/>
      <c r="Z59" s="1485"/>
      <c r="AA59" s="1467"/>
      <c r="AB59" s="1124"/>
      <c r="AC59" s="834" t="str">
        <f t="shared" si="176"/>
        <v/>
      </c>
      <c r="AD59" s="834" t="str">
        <f t="shared" si="177"/>
        <v/>
      </c>
      <c r="AE59" s="1467"/>
      <c r="AF59" s="834" t="str">
        <f t="shared" si="178"/>
        <v/>
      </c>
      <c r="AG59" s="834" t="str">
        <f t="shared" si="179"/>
        <v/>
      </c>
      <c r="AH59" s="1474"/>
      <c r="AI59" s="835"/>
      <c r="AJ59" s="836"/>
      <c r="AK59" s="837"/>
      <c r="AL59" s="838"/>
      <c r="AM59" s="1469"/>
      <c r="AN59" s="1632"/>
      <c r="AO59" s="1636"/>
      <c r="AP59" s="839">
        <f>+IF(I58=0,0,"1/")</f>
        <v>0</v>
      </c>
      <c r="AQ59" s="840">
        <f>IF(I58=0,0,+DN59)</f>
        <v>0</v>
      </c>
      <c r="AR59" s="23"/>
      <c r="AS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1312"/>
      <c r="CN59" s="1301"/>
      <c r="CO59" s="548"/>
      <c r="CP59" s="9" t="e">
        <f>ROUNDUP(CX59*I58*100/2/DL59,2)</f>
        <v>#N/A</v>
      </c>
      <c r="CQ59" s="9" t="e">
        <f>ROUNDUP(CY59*I58*100/2/DM59,2)</f>
        <v>#N/A</v>
      </c>
      <c r="CR59" s="9" t="e">
        <f t="shared" si="182"/>
        <v>#N/A</v>
      </c>
      <c r="CS59" s="9">
        <f t="shared" ref="CS59" si="187">IF(M59=0,0,ROUNDUP(SQRT(AA59*(M59/10-6)*(M59/10-3))/(X59*X59),2))</f>
        <v>0</v>
      </c>
      <c r="CT59" s="58"/>
      <c r="CU59" s="78"/>
      <c r="CV59" s="78">
        <f>ROUNDUP(IF(VALUE(RIGHT($G$3,4))=1,$I$3*30*F60*100,$I$3*20*F60*100),0)</f>
        <v>0</v>
      </c>
      <c r="CW59" s="78"/>
      <c r="CX59" s="78" t="e">
        <f>ROUNDUP((準備!$F$60/100+準備!$C$48/100)*($G58+$H58)/2,2)</f>
        <v>#N/A</v>
      </c>
      <c r="CY59" s="78" t="e">
        <f>ROUNDUP((準備!$F$60/100+準備!$E$48/100)*($G58+$H58)/2,2)</f>
        <v>#N/A</v>
      </c>
      <c r="CZ59" s="78">
        <f>IF(K59=0,0,ROUNDUP(($CX59*POWER($I58*100,2)/8+FJ59)/$DF59,1))</f>
        <v>0</v>
      </c>
      <c r="DA59" s="63" t="e">
        <f>ROUNDUP(5*$CY59*POWER($I58*100,4)/(384*VLOOKUP(VALUE(RIGHT($J58,4)),許容応力!$L$6:$U$22,10)*100*$DG59),2)+FQ59</f>
        <v>#N/A</v>
      </c>
      <c r="DB59" s="78" t="e">
        <f>ROUND((CX59*I58*100/2)/Z58,1)</f>
        <v>#N/A</v>
      </c>
      <c r="DC59" s="78" t="e">
        <f>ROUNDUP(($CY59*POWER($I58*100,2)/8+FJ59)/$DF59,1)</f>
        <v>#N/A</v>
      </c>
      <c r="DD59" s="63" t="e">
        <f>ROUNDUP(5*$CY59*POWER($I58*100,4)/(384*VLOOKUP(VALUE(RIGHT($J58,4)),許容応力!$L$6:$U$22,10)*100*$DG59),2)+FQ59</f>
        <v>#N/A</v>
      </c>
      <c r="DE59" s="78" t="e">
        <f>ROUND((CY59*I58*100/2)/Z58,1)</f>
        <v>#N/A</v>
      </c>
      <c r="DF59" s="63">
        <f>IF(M59&lt;180,ROUND((M59/10-3)*POWER(M59/10-3,2)/6*IF(AB59=0,1,AB59),0),ROUND((M59/10-5)*POWER(M59/10-3,2)/6*IF($AB59=0,1,$AB59),0))</f>
        <v>-5</v>
      </c>
      <c r="DG59" s="63">
        <f>ROUND(IF(M59&lt;180,(M59/10-3)*POWER((M59/10-3),3)/12*IF(AB59=0,1,AB59),(M59/10-4))*POWER((M59/10-3),3)/12*IF(AB59=0,1,AB59),0)</f>
        <v>-15</v>
      </c>
      <c r="DH59" s="10" t="e">
        <f>IF($DN$6=2,ROUND(VLOOKUP(DQ59,許容応力!$L$6:$U$22,7)*1.1/3*100,0),ROUND(VLOOKUP(DQ59,許容応力!$L$6:$U$22,7)*1.1/3*1.3*100,0))</f>
        <v>#VALUE!</v>
      </c>
      <c r="DI59" s="63" t="e">
        <f>ROUND(VLOOKUP(DQ59,許容応力!$L$6:$U$22,7)*100*2/3*0.8,0)</f>
        <v>#VALUE!</v>
      </c>
      <c r="DJ59" s="10" t="e">
        <f>IF($DN$6=2,ROUND(VLOOKUP(DQ59,許容応力!$L$6:$U$22,8)*1.1/3*100,0),ROUND(VLOOKUP(DQ59,許容応力!$L$6:$U$22,8)*1.1/3*1.3*100,0))</f>
        <v>#VALUE!</v>
      </c>
      <c r="DK59" s="63" t="e">
        <f>ROUND(VLOOKUP(DQ59,許容応力!$L$6:$U$22,8)*100*2/3*0.8,0)</f>
        <v>#VALUE!</v>
      </c>
      <c r="DL59" s="10" t="e">
        <f>IF($DN$6=2,ROUND(VLOOKUP(DQ59,許容応力!$L$6:$U$22,9)*1.1/3*100,0),ROUND(VLOOKUP(DQ59,許容応力!$L$6:$U$22,9)*1.1/3*1.3*100,0))</f>
        <v>#VALUE!</v>
      </c>
      <c r="DM59" s="63" t="e">
        <f>ROUND(VLOOKUP(DQ59,許容応力!$L$6:$U$22,9)*100*2/3*0.8,0)</f>
        <v>#VALUE!</v>
      </c>
      <c r="DN59" s="63">
        <v>600</v>
      </c>
      <c r="DO59" s="78">
        <f>ROUND(I58*100/DN59,2)</f>
        <v>0</v>
      </c>
      <c r="DP59" s="78"/>
      <c r="DQ59" s="78" t="e">
        <f>+VALUE(RIGHT(J58,3))</f>
        <v>#VALUE!</v>
      </c>
      <c r="DR59" s="92" t="e">
        <f>ROUND(ATAN(D60/10)*180/PI(),4)</f>
        <v>#VALUE!</v>
      </c>
      <c r="DS59" s="80" t="e">
        <f t="shared" si="183"/>
        <v>#VALUE!</v>
      </c>
      <c r="DT59" s="78">
        <f>VLOOKUP(VALUE(RIGHT(C58,4)),$C$632:$F$641,4)</f>
        <v>225</v>
      </c>
      <c r="DU59" s="78">
        <f>ROUND(I58*100/DT59,2)</f>
        <v>0</v>
      </c>
      <c r="DV59" s="78"/>
      <c r="DW59" s="78" t="e">
        <f>ROUNDUP((準備!$F$60/100+準備!$E$48/100)*($G58+$H58)/2,2)</f>
        <v>#N/A</v>
      </c>
      <c r="DX59" s="78" t="e">
        <f>ROUNDUP((準備!$F$60/100+準備!$E$48/100)*($G58+$H58)/2,2)</f>
        <v>#N/A</v>
      </c>
      <c r="DY59" s="71">
        <f>IF(I58&lt;6,POWER(M59/10,2)*I58/10000,POWER((M59/10+(ROUNDDOWN(I58,0)-4)/2),2)*I58/10000)</f>
        <v>0</v>
      </c>
      <c r="DZ59" s="78">
        <v>200</v>
      </c>
      <c r="EA59" s="93">
        <f>ROUND(DY59*DZ59/100,0)</f>
        <v>0</v>
      </c>
      <c r="EB59" s="78" t="e">
        <f>ROUND((CX59*I58*100/2+EA59)/AM59,1)</f>
        <v>#N/A</v>
      </c>
      <c r="EC59" s="78" t="e">
        <f t="shared" si="184"/>
        <v>#N/A</v>
      </c>
      <c r="ED59" s="78" t="e">
        <f>ROUND((CY59*I58*100/2+EA59)/AM59,1)</f>
        <v>#N/A</v>
      </c>
      <c r="EE59" s="78" t="e">
        <f t="shared" si="185"/>
        <v>#N/A</v>
      </c>
      <c r="EF59" s="78"/>
      <c r="EG59" s="78" t="e">
        <f>+VALUE(RIGHT(H60,4))</f>
        <v>#VALUE!</v>
      </c>
      <c r="EH59" s="78"/>
      <c r="EI59" s="78" t="str">
        <f>IF(M59=0,"",ROUND(CX59*I58*100/2/DJ59,2))</f>
        <v/>
      </c>
      <c r="EJ59" s="78" t="str">
        <f>IF(M59=0,"",ROUND(CY59*I58*100/2/DK59,2))</f>
        <v/>
      </c>
      <c r="EK59" s="78"/>
      <c r="EL59" s="63" t="e">
        <f>IF(AB59=0.8,VLOOKUP(ER59,$CR$395:$CS$439,2),IF(AB59=0.9,VLOOKUP(ER59,$CR$348:$CS$394,2),VLOOKUP(ER59,$CR$301:$CS$344,2)))</f>
        <v>#N/A</v>
      </c>
      <c r="EM59" s="63" t="e">
        <f>IF(AB59=0.8,VLOOKUP(ES59,$CT$395:$CU$439,2),IF(AB59=0.9,VLOOKUP(ES59,$CT$348:$CU$394,2),VLOOKUP(ES59,$CT$301:$CU$344,2)))</f>
        <v>#N/A</v>
      </c>
      <c r="EO59" s="63" t="e">
        <f>IF(AB59=0.8,VLOOKUP(EU59,$CR$395:$CS$439,2),IF(AB59=0.9,VLOOKUP(EU59,$CR$348:$CS$394,2),VLOOKUP(EU59,$CR$301:$CS$344,2)))</f>
        <v>#N/A</v>
      </c>
      <c r="EP59" s="63" t="e">
        <f>IF(AB59=0.8,VLOOKUP(EV59,$CT$395:$CU$439,2),IF(AB59=0.9,VLOOKUP(EV59,$CT$348:$CU$394,2),VLOOKUP(EV59,$CT$301:$CU$344,2)))</f>
        <v>#N/A</v>
      </c>
      <c r="EQ59" s="155" t="e">
        <f t="shared" si="186"/>
        <v>#N/A</v>
      </c>
      <c r="ER59" s="78" t="e">
        <f>ROUNDUP(($CX59*POWER($I58*100,2)/8+FJ59)/$DH59,1)</f>
        <v>#N/A</v>
      </c>
      <c r="ES59" s="78" t="e">
        <f>ROUNDUP(5*$DW59*POWER($I58*100,4)/(384*VLOOKUP(VALUE(RIGHT($J58,4)),許容応力!$B$6:$K$22,10)*100*$DO59),2)+GB59</f>
        <v>#N/A</v>
      </c>
      <c r="ET59" s="78"/>
      <c r="EU59" s="78" t="e">
        <f>ROUNDUP(($CY59*POWER($I58*100,2)/8+FJ59)/$DI59,1)</f>
        <v>#N/A</v>
      </c>
      <c r="EV59" s="78" t="e">
        <f>ROUNDUP(5*$CY59*POWER($I58*100,4)/(384*VLOOKUP(VALUE(RIGHT($J58,4)),許容応力!$B$6:$K$22,10)*100*$DU59),2)+GE59</f>
        <v>#N/A</v>
      </c>
      <c r="EW59" s="78"/>
      <c r="EX59" s="78"/>
      <c r="EY59" s="78"/>
      <c r="EZ59" s="78"/>
      <c r="FA59" s="78"/>
      <c r="FB59" s="3">
        <v>1</v>
      </c>
      <c r="FC59" s="3">
        <v>2</v>
      </c>
      <c r="FD59" s="3">
        <v>3</v>
      </c>
      <c r="FE59" s="3">
        <v>4</v>
      </c>
      <c r="FF59" s="3">
        <v>5</v>
      </c>
      <c r="FG59" s="3">
        <v>6</v>
      </c>
      <c r="FI59" s="3" t="s">
        <v>1019</v>
      </c>
      <c r="FJ59" s="63">
        <f>IF(F60=0,0,ROUND(EH58*POWER(I58*100,2)/8,2))</f>
        <v>0</v>
      </c>
      <c r="FK59" s="3">
        <f>IF(F60=0,0,ROUND(5*EH58*POWER(I58*100,4)/(384*FL59),2))</f>
        <v>0</v>
      </c>
      <c r="FL59" s="642">
        <f>IF(F60=0,0,+VLOOKUP(VALUE(RIGHT(J58,4)),許容応力!$B$6:$K$22,10)*100)</f>
        <v>0</v>
      </c>
      <c r="FM59" s="3">
        <f>IF(F60=0,0,ROUND((FJ59)/DF58,1))</f>
        <v>0</v>
      </c>
      <c r="FN59" s="3">
        <f>IF(F60=0,0,ROUND(FK59/DG58,2))</f>
        <v>0</v>
      </c>
      <c r="FO59" s="3">
        <f>IF(F60=0,0,ROUND(FJ60/Z58,1))</f>
        <v>0</v>
      </c>
      <c r="FP59" s="3">
        <f>+FM59</f>
        <v>0</v>
      </c>
      <c r="FQ59" s="3">
        <f>+FN59</f>
        <v>0</v>
      </c>
      <c r="FR59" s="3">
        <f>+FO59</f>
        <v>0</v>
      </c>
      <c r="FS59" s="3">
        <f>IF(F60=0,0,ROUND(VLOOKUP(VALUE(RIGHT(J58,4)),許容応力!$B$6:$K$22,9)*1.1/3*100,0))</f>
        <v>0</v>
      </c>
      <c r="FT59" s="3">
        <f>IF(F60=0,0,ROUND(VLOOKUP(VALUE(RIGHT($J58,4)),許容応力!$B$6:$K$22,9)*2/3*0.8*100,0))</f>
        <v>0</v>
      </c>
      <c r="FU59" s="3">
        <f>IF(F60=0,0,ROUND(FM59/CZ58,2))</f>
        <v>0</v>
      </c>
      <c r="FV59" s="3">
        <f>IF(F60=0,0,ROUND(FN59/DA58,2))</f>
        <v>0</v>
      </c>
      <c r="FW59" s="3">
        <f>IF(F60=0,0,ROUND(FO59/DB58,2))</f>
        <v>0</v>
      </c>
      <c r="FX59" s="3">
        <f>IF(F60=0,0,ROUND(FP59/DC58,2))</f>
        <v>0</v>
      </c>
      <c r="FY59" s="3">
        <f>IF(F60=0,0,ROUND(FQ59/DD58,2))</f>
        <v>0</v>
      </c>
      <c r="FZ59" s="3">
        <f>IF(F60=0,0,ROUND(FR59/DE58,2))</f>
        <v>0</v>
      </c>
      <c r="GA59" s="87">
        <f>IF(F60=0,0,ROUNDUP(EH58*POWER(I58*100,2)/8/DH58,1))</f>
        <v>0</v>
      </c>
      <c r="GB59" s="87">
        <f>IF(F60=0,0,ROUNDUP(5*EH58*POWER(I58*100,4)/(384*VLOOKUP(VALUE(RIGHT($J58,4)),許容応力!$B$6:$K$22,10)*100*$DO58),2))</f>
        <v>0</v>
      </c>
      <c r="GC59" s="87"/>
      <c r="GD59" s="87">
        <f>+GA59</f>
        <v>0</v>
      </c>
      <c r="GE59" s="87">
        <f>+GB59</f>
        <v>0</v>
      </c>
    </row>
    <row r="60" spans="2:187" ht="15.95" customHeight="1" thickBot="1" x14ac:dyDescent="0.2">
      <c r="B60" s="1650"/>
      <c r="C60" s="1596"/>
      <c r="D60" s="1580" t="s">
        <v>1248</v>
      </c>
      <c r="E60" s="1581"/>
      <c r="F60" s="1126"/>
      <c r="G60" s="280" t="s">
        <v>1250</v>
      </c>
      <c r="H60" s="1127"/>
      <c r="I60" s="841" t="s">
        <v>1004</v>
      </c>
      <c r="J60" s="1114"/>
      <c r="K60" s="842"/>
      <c r="L60" s="843"/>
      <c r="M60" s="841"/>
      <c r="N60" s="843"/>
      <c r="O60" s="915"/>
      <c r="P60" s="845"/>
      <c r="Q60" s="881"/>
      <c r="R60" s="881"/>
      <c r="S60" s="880"/>
      <c r="T60" s="881"/>
      <c r="U60" s="881"/>
      <c r="V60" s="843"/>
      <c r="W60" s="845"/>
      <c r="X60" s="855"/>
      <c r="Y60" s="847"/>
      <c r="Z60" s="874"/>
      <c r="AA60" s="845"/>
      <c r="AB60" s="1149"/>
      <c r="AC60" s="848"/>
      <c r="AD60" s="848"/>
      <c r="AE60" s="845"/>
      <c r="AF60" s="848"/>
      <c r="AG60" s="848"/>
      <c r="AH60" s="849"/>
      <c r="AI60" s="856"/>
      <c r="AJ60" s="857"/>
      <c r="AK60" s="858"/>
      <c r="AL60" s="859"/>
      <c r="AM60" s="847"/>
      <c r="AN60" s="847"/>
      <c r="AO60" s="854"/>
      <c r="AP60" s="184"/>
      <c r="AQ60" s="185"/>
      <c r="AR60" s="23"/>
      <c r="AS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916"/>
      <c r="CO60" s="548"/>
      <c r="CP60" s="9"/>
      <c r="CQ60" s="9"/>
      <c r="CR60" s="9"/>
      <c r="CS60" s="9"/>
      <c r="CT60" s="58"/>
      <c r="CU60" s="78"/>
      <c r="CV60" s="78"/>
      <c r="CW60" s="78"/>
      <c r="CX60" s="78"/>
      <c r="CY60" s="78"/>
      <c r="CZ60" s="78"/>
      <c r="DA60" s="63"/>
      <c r="DB60" s="78"/>
      <c r="DC60" s="78"/>
      <c r="DD60" s="63"/>
      <c r="DE60" s="78"/>
      <c r="DF60" s="63"/>
      <c r="DG60" s="63"/>
      <c r="DH60" s="10"/>
      <c r="DI60" s="63"/>
      <c r="DJ60" s="10"/>
      <c r="DK60" s="63"/>
      <c r="DL60" s="10"/>
      <c r="DM60" s="63"/>
      <c r="DN60" s="63"/>
      <c r="DO60" s="78"/>
      <c r="DP60" s="78"/>
      <c r="DQ60" s="78"/>
      <c r="DR60" s="92"/>
      <c r="DS60" s="80"/>
      <c r="DT60" s="78"/>
      <c r="DU60" s="78"/>
      <c r="DV60" s="78"/>
      <c r="DW60" s="78"/>
      <c r="DX60" s="78"/>
      <c r="DY60" s="71"/>
      <c r="DZ60" s="78"/>
      <c r="EA60" s="93"/>
      <c r="EB60" s="78"/>
      <c r="EC60" s="78"/>
      <c r="ED60" s="78"/>
      <c r="EE60" s="78"/>
      <c r="EF60" s="78"/>
      <c r="EG60" s="78"/>
      <c r="EH60" s="78"/>
      <c r="EI60" s="78"/>
      <c r="EJ60" s="78"/>
      <c r="EK60" s="78"/>
      <c r="EL60" s="63"/>
      <c r="EM60" s="63"/>
      <c r="EO60" s="63"/>
      <c r="EP60" s="63"/>
      <c r="EQ60" s="155"/>
      <c r="ER60" s="78"/>
      <c r="ES60" s="78"/>
      <c r="ET60" s="78"/>
      <c r="EU60" s="78"/>
      <c r="EV60" s="78"/>
      <c r="EW60" s="78"/>
      <c r="EX60" s="78"/>
      <c r="EY60" s="78"/>
      <c r="EZ60" s="78"/>
      <c r="FA60" s="78"/>
      <c r="FB60" s="128">
        <f>+準備!$G$20/100*J60</f>
        <v>0</v>
      </c>
      <c r="FC60" s="128">
        <f>+準備!$G$24/100*J60</f>
        <v>0</v>
      </c>
      <c r="FD60" s="128">
        <f>+準備!$G$28/100*J60</f>
        <v>0</v>
      </c>
      <c r="FE60" s="128">
        <f>+準備!$G$32/100*J60</f>
        <v>0</v>
      </c>
      <c r="FF60" s="128">
        <f>+準備!$G$36/100*J60</f>
        <v>0</v>
      </c>
      <c r="FG60" s="128">
        <f>+準備!$G$38/100*J60</f>
        <v>0</v>
      </c>
      <c r="FI60" s="3" t="s">
        <v>1018</v>
      </c>
      <c r="FJ60" s="63">
        <f>IF(F60=0,0,ROUND(EH58*I58*100/2,2))</f>
        <v>0</v>
      </c>
      <c r="FK60" s="63"/>
      <c r="FM60" s="3">
        <f t="shared" ref="FM60:FR60" si="188">+FM59</f>
        <v>0</v>
      </c>
      <c r="FN60" s="3">
        <f t="shared" si="188"/>
        <v>0</v>
      </c>
      <c r="FO60" s="3">
        <f t="shared" si="188"/>
        <v>0</v>
      </c>
      <c r="FP60" s="3">
        <f t="shared" si="188"/>
        <v>0</v>
      </c>
      <c r="FQ60" s="3">
        <f t="shared" si="188"/>
        <v>0</v>
      </c>
      <c r="FR60" s="3">
        <f t="shared" si="188"/>
        <v>0</v>
      </c>
      <c r="FS60" s="3">
        <f>IF(F60=0,0,ROUND(EH58*I58*100/2/FS59/AM58,2))</f>
        <v>0</v>
      </c>
      <c r="FT60" s="3">
        <f>IF(F60=0,0,ROUND(EH58*I58*100/2/FT59/AM58,2))</f>
        <v>0</v>
      </c>
      <c r="FU60" s="3">
        <f t="shared" ref="FU60:FZ60" si="189">+FU59</f>
        <v>0</v>
      </c>
      <c r="FV60" s="3">
        <f t="shared" si="189"/>
        <v>0</v>
      </c>
      <c r="FW60" s="3">
        <f t="shared" si="189"/>
        <v>0</v>
      </c>
      <c r="FX60" s="3">
        <f t="shared" si="189"/>
        <v>0</v>
      </c>
      <c r="FY60" s="3">
        <f t="shared" si="189"/>
        <v>0</v>
      </c>
      <c r="FZ60" s="3">
        <f t="shared" si="189"/>
        <v>0</v>
      </c>
    </row>
    <row r="61" spans="2:187" ht="15.95" customHeight="1" x14ac:dyDescent="0.15">
      <c r="B61" s="1650"/>
      <c r="C61" s="1640" t="s">
        <v>1286</v>
      </c>
      <c r="D61" s="331"/>
      <c r="E61" s="1576"/>
      <c r="F61" s="1577"/>
      <c r="G61" s="1563"/>
      <c r="H61" s="1563"/>
      <c r="I61" s="1563"/>
      <c r="J61" s="1565"/>
      <c r="K61" s="1117"/>
      <c r="L61" s="196">
        <f>+IF(K61=0,0,"×")</f>
        <v>0</v>
      </c>
      <c r="M61" s="241">
        <f>IF(K61=0,0,+EQ61)</f>
        <v>0</v>
      </c>
      <c r="N61" s="242" t="str">
        <f t="shared" ref="N61:N62" si="190">IF(AC61=+"","",IF(AND(AC61&lt;=1,AD61&lt;=1,AF61&lt;=1,AG61&lt;=1),"OK!","NO!"))</f>
        <v/>
      </c>
      <c r="O61" s="1520">
        <f>IF(Z61=0,0,IF(AND(U61=0,X61=0),0,IF(IF(AE61&gt;=AH61,AE61,AH61)&lt;=1,"OK!","NO!")))</f>
        <v>0</v>
      </c>
      <c r="P61" s="1476"/>
      <c r="Q61" s="1488"/>
      <c r="R61" s="1488"/>
      <c r="S61" s="1616">
        <f t="shared" ref="S61" si="191">+IF(R61=0,0,6)</f>
        <v>0</v>
      </c>
      <c r="T61" s="1488"/>
      <c r="U61" s="1488"/>
      <c r="V61" s="196" t="str">
        <f>+AF$185</f>
        <v/>
      </c>
      <c r="W61" s="1577">
        <f>IF(U61=0,0,+VLOOKUP(V61,$I$204:$J$209,2))</f>
        <v>0</v>
      </c>
      <c r="X61" s="1486"/>
      <c r="Y61" s="1468">
        <f>IF(X61=0,0,+CS61)</f>
        <v>0</v>
      </c>
      <c r="Z61" s="1313">
        <f>IF(AND(R61=0,X61=0),0,+IF(AND(VALUE(RIGHT(P61,4))=2,R61&gt;0),0,IF(AND(VALUE(RIGHT(P61,4))=1,X61&gt;0),0,CM61)))</f>
        <v>0</v>
      </c>
      <c r="AA61" s="1466">
        <f>IF(X61=0,0,IF(EI61&gt;=EJ61,EI61,EJ61))</f>
        <v>0</v>
      </c>
      <c r="AB61" s="1121"/>
      <c r="AC61" s="201" t="str">
        <f t="shared" ref="AC61:AC62" si="192">IF(M61=0,"",ROUNDUP(CZ61/DH61,2))</f>
        <v/>
      </c>
      <c r="AD61" s="201" t="str">
        <f t="shared" ref="AD61:AD62" si="193">IF(M61=0,"",ROUND(DA61/DO61,2))</f>
        <v/>
      </c>
      <c r="AE61" s="1466">
        <f>IF(G61=+"",0,IF(AND(U61=0,X61=0),0,IF(X61=0,ROUND(DB61/(DJ61*$CP$4*W61),2),ROUND(DB61/DJ61,2))))</f>
        <v>0</v>
      </c>
      <c r="AF61" s="201" t="str">
        <f t="shared" ref="AF61:AF62" si="194">IF(M61=0,"",ROUNDUP(DC61/DI61,2))</f>
        <v/>
      </c>
      <c r="AG61" s="201" t="str">
        <f t="shared" ref="AG61:AG62" si="195">IF(M61=0,"",ROUNDUP(DD61/DU61,2))</f>
        <v/>
      </c>
      <c r="AH61" s="1466">
        <f>IF(G61=+"",0,IF(AND(U61=0,X61=0),0,IF(X61=0,ROUND(DE61/(DK61*$CP$4*W61),2),ROUND(DE61/DK61,2))))</f>
        <v>0</v>
      </c>
      <c r="AI61" s="818"/>
      <c r="AJ61" s="811"/>
      <c r="AK61" s="823"/>
      <c r="AL61" s="812"/>
      <c r="AM61" s="1631">
        <f>IF(AI61=0,0,ROUND(AI61*AJ61+AK61*AL61+AI62*AJ62+AK62*AL62,2))</f>
        <v>0</v>
      </c>
      <c r="AN61" s="1631">
        <f t="shared" ref="AN61" si="196">IF(AJ61=0,0,IF(CO61=1,CN61/($CP$4*W61),CN61))</f>
        <v>0</v>
      </c>
      <c r="AO61" s="1635" t="str">
        <f t="shared" ref="AO61" si="197">IF(AN61=0,"",IF(AN61&lt;=1,"OK!","NO!"))</f>
        <v/>
      </c>
      <c r="AP61" s="186">
        <f>+IF(I61=0,0,"1/")</f>
        <v>0</v>
      </c>
      <c r="AQ61" s="187">
        <f>IF(I61=0,0,+DN61)</f>
        <v>0</v>
      </c>
      <c r="AR61" s="23"/>
      <c r="AS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1313">
        <f>IF(AND(U61=0,X61=0),0,IF(U61&gt;0,AF$196/100*$CP$4*W61,ROUND(POWER(X61*Y61,2)/(K61/10*M61/10),2)))</f>
        <v>0</v>
      </c>
      <c r="CN61" s="1304" t="str">
        <f>IF($AJ61=0,"",IF($EC61&gt;=$EE61,$EC61+FN62,$EE61+FN62))</f>
        <v/>
      </c>
      <c r="CO61" s="552">
        <f>IF(P61=0,0,+VALUE(RIGHT(P61,4)))</f>
        <v>0</v>
      </c>
      <c r="CP61" s="91" t="e">
        <f>ROUNDUP(CX61*I61*100/2/DL61,2)</f>
        <v>#N/A</v>
      </c>
      <c r="CQ61" s="91" t="e">
        <f>ROUNDUP(CY61*I61*100/2/DM61,2)</f>
        <v>#N/A</v>
      </c>
      <c r="CR61" s="91" t="e">
        <f t="shared" ref="CR61:CR62" si="198">IF(CP61&gt;=CQ61,CP61,CQ61)</f>
        <v>#N/A</v>
      </c>
      <c r="CS61" s="9">
        <f t="shared" ref="CS61" si="199">IF(M61=0,0,ROUNDUP(SQRT((AA61*K61/10*M61/10)/(X61*X61)),2))</f>
        <v>0</v>
      </c>
      <c r="CT61" s="94"/>
      <c r="CU61" s="95"/>
      <c r="CV61" s="87">
        <f>ROUNDUP(IF(VALUE(RIGHT($G$3,4))=1,$I$3*30*F63*100,$I$3*20*F63*100),0)</f>
        <v>0</v>
      </c>
      <c r="CW61" s="87"/>
      <c r="CX61" s="87" t="e">
        <f>ROUNDUP((準備!$F$60/100+準備!$C$48/100)*($G61+$H61)/2,2)</f>
        <v>#N/A</v>
      </c>
      <c r="CY61" s="87" t="e">
        <f>ROUNDUP((準備!$F$60/100+準備!$E$48/100)*($G61+$H61)/2,2)</f>
        <v>#N/A</v>
      </c>
      <c r="CZ61" s="87" t="e">
        <f>ROUNDUP(($CX61*POWER($I61*100,2)/8+FJ62)/$DF61,1)</f>
        <v>#N/A</v>
      </c>
      <c r="DA61" s="87" t="e">
        <f>ROUNDUP(5*$DW61*POWER($I61*100,4)/(384*VLOOKUP(VALUE(RIGHT($J61,4)),許容応力!$B$6:$K$22,10)*100*$DG61),2)+FN62</f>
        <v>#N/A</v>
      </c>
      <c r="DB61" s="87" t="e">
        <f>ROUND((CX61*I61*100/2)/Z61,1)</f>
        <v>#N/A</v>
      </c>
      <c r="DC61" s="87" t="e">
        <f>ROUNDUP(($CY61*POWER($I61*100,2)/8+FJ62)/$DF61,1)</f>
        <v>#N/A</v>
      </c>
      <c r="DD61" s="87" t="e">
        <f>ROUNDUP(5*$CY61*POWER($I61*100,4)/(384*VLOOKUP(VALUE(RIGHT($J61,4)),許容応力!$B$6:$K$22,10)*100*$DG61),2)+FQ62</f>
        <v>#N/A</v>
      </c>
      <c r="DE61" s="87" t="e">
        <f>ROUND((CY61*I61*100/2)/Z61,1)</f>
        <v>#N/A</v>
      </c>
      <c r="DF61" s="87">
        <f>ROUNDDOWN($K61/10*POWER($M61/10,2)/6*IF(OR($AB61=0,$AB61=1),1,$AB61),0)</f>
        <v>0</v>
      </c>
      <c r="DG61" s="87">
        <f>ROUNDDOWN($K61/10*POWER($M61/10,3)/12*IF(OR($AB61=0,$AB61=1),1,$AB61),0)</f>
        <v>0</v>
      </c>
      <c r="DH61" s="88" t="e">
        <f>VLOOKUP(DQ61,許容応力!$B$6:$K$22,7)*1.1/3*100</f>
        <v>#VALUE!</v>
      </c>
      <c r="DI61" s="87" t="e">
        <f>ROUND(VLOOKUP(DQ61,許容応力!$B$6:$K$22,7)*100*2/3*0.8,0)</f>
        <v>#VALUE!</v>
      </c>
      <c r="DJ61" s="10" t="e">
        <f>IF($DN$6=2,ROUND(VLOOKUP(DQ61,許容応力!$B$6:$K$22,8)*1.1/3*100,0),ROUND(VLOOKUP(DQ61,許容応力!$B$6:$K$22,8)*1.1/3*1.3*100,0))</f>
        <v>#VALUE!</v>
      </c>
      <c r="DK61" s="87" t="e">
        <f>ROUND(VLOOKUP(DQ61,許容応力!$B$6:$K$22,8)*100*2/3*0.8,0)</f>
        <v>#VALUE!</v>
      </c>
      <c r="DL61" s="10" t="e">
        <f>IF($DN$6=2,ROUND(VLOOKUP(DQ61,許容応力!$B$6:$K$22,9)*1.1/3*100,0),ROUND(VLOOKUP(DQ61,許容応力!$B$6:$K$22,9)*1.1/3*1.3*100,0))</f>
        <v>#VALUE!</v>
      </c>
      <c r="DM61" s="87" t="e">
        <f>ROUND(VLOOKUP(DQ61,許容応力!$B$6:$K$22,9)*100*2/3*0.8,0)</f>
        <v>#VALUE!</v>
      </c>
      <c r="DN61" s="63">
        <v>600</v>
      </c>
      <c r="DO61" s="87">
        <f>ROUND(I61*100/DN61,2)</f>
        <v>0</v>
      </c>
      <c r="DP61" s="87"/>
      <c r="DQ61" s="87" t="e">
        <f>+VALUE(RIGHT(J61,3))</f>
        <v>#VALUE!</v>
      </c>
      <c r="DR61" s="89" t="e">
        <f>ROUND(ATAN(D63/10)*180/PI(),4)</f>
        <v>#VALUE!</v>
      </c>
      <c r="DS61" s="90" t="e">
        <f t="shared" ref="DS61:DS62" si="200">ROUND(COS(DR61*PI()/180),3)</f>
        <v>#VALUE!</v>
      </c>
      <c r="DT61" s="87">
        <f>VLOOKUP(VALUE(RIGHT(C61,4)),$C$632:$F$641,4)</f>
        <v>225</v>
      </c>
      <c r="DU61" s="87">
        <f>ROUND(I61*100/DT61,2)</f>
        <v>0</v>
      </c>
      <c r="DV61" s="87"/>
      <c r="DW61" s="87" t="e">
        <f>ROUNDUP((準備!$F$60/100+準備!$E$48/100)*($G61+$H61)/2,2)</f>
        <v>#N/A</v>
      </c>
      <c r="DX61" s="87" t="e">
        <f>ROUNDUP((準備!$F$60/100+準備!$E$48/100)*($G61+$H61)/2,2)</f>
        <v>#N/A</v>
      </c>
      <c r="DY61" s="87"/>
      <c r="DZ61" s="87"/>
      <c r="EA61" s="87"/>
      <c r="EB61" s="87" t="e">
        <f>ROUND(CX61*I61*100/2/AM61,1)</f>
        <v>#N/A</v>
      </c>
      <c r="EC61" s="87" t="e">
        <f t="shared" ref="EC61:EC62" si="201">ROUND(EB61/DL61,2)</f>
        <v>#N/A</v>
      </c>
      <c r="ED61" s="87" t="e">
        <f>ROUND(CY61*I61*100/2/AM61,1)</f>
        <v>#N/A</v>
      </c>
      <c r="EE61" s="87" t="e">
        <f t="shared" ref="EE61:EE62" si="202">ROUND(ED61/DM61,2)</f>
        <v>#N/A</v>
      </c>
      <c r="EF61" s="87"/>
      <c r="EG61" s="87">
        <f>IF(F63=0,0,+VALUE(RIGHT(F63,4)))</f>
        <v>0</v>
      </c>
      <c r="EH61" s="3">
        <f>+IF(EG61=1,HLOOKUP(EG62,FB62:FG63,2),0)</f>
        <v>0</v>
      </c>
      <c r="EI61" s="87" t="str">
        <f>IF(M61=0,"",ROUND(CX61*I61*100/2/DJ61,2))</f>
        <v/>
      </c>
      <c r="EJ61" s="87" t="str">
        <f>IF(M61=0,"",ROUND(CY61*I61*100/2/DK61,2))</f>
        <v/>
      </c>
      <c r="EK61" s="87"/>
      <c r="EL61" s="63" t="e">
        <f>ROUNDUP(ER61/3,-1)*3</f>
        <v>#N/A</v>
      </c>
      <c r="EM61" s="63" t="e">
        <f>ROUNDUP(ES61/3,-1)*3</f>
        <v>#N/A</v>
      </c>
      <c r="EO61" s="63" t="e">
        <f>ROUNDUP(EU61/3,-1)*3</f>
        <v>#N/A</v>
      </c>
      <c r="EP61" s="63" t="e">
        <f>ROUNDUP(EV61/3,-1)*3</f>
        <v>#N/A</v>
      </c>
      <c r="EQ61" s="155" t="e">
        <f t="shared" ref="EQ61:EQ62" si="203">+MAX(EL61:EP61)</f>
        <v>#N/A</v>
      </c>
      <c r="ER61" s="87" t="e">
        <f>ROUNDUP(SQRT(EW61/($K61/10)*6/IF(OR($AB61=0,$AB61=1),1,$AB61)),0)*10</f>
        <v>#N/A</v>
      </c>
      <c r="ES61" s="87" t="e">
        <f>POWER(ROUNDUP(EX61/($K61/10)*12/IF(OR($AB61=0,$AB61=1),1,$AB61),0),1/3)*10</f>
        <v>#N/A</v>
      </c>
      <c r="EU61" s="87" t="e">
        <f>ROUNDUP(SQRT(EZ61/($K61/10)*6/IF(OR($AB61=0,$AB61=1),1,$AB61))*10,0)</f>
        <v>#N/A</v>
      </c>
      <c r="EV61" s="87" t="e">
        <f>POWER(ROUNDUP(FA61/($K61/10)*12/IF(OR($AB61=0,$AB61=1),1,$AB61),0),1/3)*10</f>
        <v>#N/A</v>
      </c>
      <c r="EW61" s="87" t="e">
        <f>ROUNDUP(($CX61*POWER($I61*100,2)/8+FJ62)/$DH61,1)</f>
        <v>#N/A</v>
      </c>
      <c r="EX61" s="87" t="e">
        <f>ROUNDUP(5*$DW61*POWER($I61*100,4)/(384*VLOOKUP(VALUE(RIGHT($J61,4)),許容応力!$B$6:$K$22,10)*100*$DO61),2)+GB62</f>
        <v>#N/A</v>
      </c>
      <c r="EY61" s="87"/>
      <c r="EZ61" s="87" t="e">
        <f>ROUNDUP(($CY61*POWER($I61*100,2)/8+FJ62)/$DI61,1)</f>
        <v>#N/A</v>
      </c>
      <c r="FA61" s="87" t="e">
        <f>ROUNDUP(5*$CY61*POWER($I61*100,4)/(384*VLOOKUP(VALUE(RIGHT($J61,4)),許容応力!$B$6:$K$22,10)*100*$DU61),2)+GE62</f>
        <v>#N/A</v>
      </c>
      <c r="FB61" s="410" t="s">
        <v>1005</v>
      </c>
      <c r="FC61" s="3" t="s">
        <v>1007</v>
      </c>
      <c r="FD61" s="3" t="s">
        <v>1008</v>
      </c>
      <c r="FE61" s="3" t="s">
        <v>1009</v>
      </c>
      <c r="FF61" s="3" t="s">
        <v>1010</v>
      </c>
      <c r="FG61" s="410" t="s">
        <v>1006</v>
      </c>
      <c r="FH61" s="410" t="s">
        <v>1016</v>
      </c>
      <c r="FI61" s="3" t="s">
        <v>258</v>
      </c>
      <c r="FK61" s="3" t="s">
        <v>189</v>
      </c>
      <c r="FL61" s="3" t="s">
        <v>18</v>
      </c>
      <c r="FM61" s="412" t="s">
        <v>1013</v>
      </c>
      <c r="FN61" s="349" t="s">
        <v>1014</v>
      </c>
      <c r="FO61" s="412" t="s">
        <v>1015</v>
      </c>
      <c r="FP61" s="412" t="s">
        <v>1013</v>
      </c>
      <c r="FQ61" s="349" t="s">
        <v>1014</v>
      </c>
      <c r="FR61" s="412" t="s">
        <v>1015</v>
      </c>
      <c r="FS61" s="3" t="s">
        <v>1223</v>
      </c>
      <c r="FT61" s="3" t="s">
        <v>1224</v>
      </c>
      <c r="FU61" s="412" t="s">
        <v>1065</v>
      </c>
      <c r="FV61" s="349" t="s">
        <v>1066</v>
      </c>
      <c r="FW61" s="412" t="s">
        <v>1067</v>
      </c>
      <c r="FX61" s="412" t="s">
        <v>1065</v>
      </c>
      <c r="FY61" s="349" t="s">
        <v>1066</v>
      </c>
      <c r="FZ61" s="412" t="s">
        <v>1067</v>
      </c>
    </row>
    <row r="62" spans="2:187" ht="15.95" customHeight="1" x14ac:dyDescent="0.15">
      <c r="B62" s="1650"/>
      <c r="C62" s="1639"/>
      <c r="D62" s="831"/>
      <c r="E62" s="1578"/>
      <c r="F62" s="1578"/>
      <c r="G62" s="1564"/>
      <c r="H62" s="1564"/>
      <c r="I62" s="1564"/>
      <c r="J62" s="1566"/>
      <c r="K62" s="1567">
        <f>+IF(J61=0,0,"丸太末口 φ")</f>
        <v>0</v>
      </c>
      <c r="L62" s="1568"/>
      <c r="M62" s="832">
        <f>IF(J61=0,0,+EQ62)</f>
        <v>0</v>
      </c>
      <c r="N62" s="833" t="str">
        <f t="shared" si="190"/>
        <v/>
      </c>
      <c r="O62" s="1571"/>
      <c r="P62" s="1477"/>
      <c r="Q62" s="1489"/>
      <c r="R62" s="1489"/>
      <c r="S62" s="1576"/>
      <c r="T62" s="1489"/>
      <c r="U62" s="1489"/>
      <c r="V62" s="1022" t="str">
        <f>+AF$184</f>
        <v/>
      </c>
      <c r="W62" s="1578"/>
      <c r="X62" s="1487"/>
      <c r="Y62" s="1469"/>
      <c r="Z62" s="1485"/>
      <c r="AA62" s="1467"/>
      <c r="AB62" s="1124"/>
      <c r="AC62" s="834" t="str">
        <f t="shared" si="192"/>
        <v/>
      </c>
      <c r="AD62" s="834" t="str">
        <f t="shared" si="193"/>
        <v/>
      </c>
      <c r="AE62" s="1467"/>
      <c r="AF62" s="834" t="str">
        <f t="shared" si="194"/>
        <v/>
      </c>
      <c r="AG62" s="834" t="str">
        <f t="shared" si="195"/>
        <v/>
      </c>
      <c r="AH62" s="1474"/>
      <c r="AI62" s="835"/>
      <c r="AJ62" s="836"/>
      <c r="AK62" s="837"/>
      <c r="AL62" s="838"/>
      <c r="AM62" s="1469"/>
      <c r="AN62" s="1632"/>
      <c r="AO62" s="1636"/>
      <c r="AP62" s="839">
        <f>+IF(I61=0,0,"1/")</f>
        <v>0</v>
      </c>
      <c r="AQ62" s="840">
        <f>IF(I61=0,0,+DN62)</f>
        <v>0</v>
      </c>
      <c r="AR62" s="23"/>
      <c r="AS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1312"/>
      <c r="CN62" s="1301"/>
      <c r="CO62" s="548"/>
      <c r="CP62" s="9" t="e">
        <f>ROUNDUP(CX62*I61*100/2/DL62,2)</f>
        <v>#N/A</v>
      </c>
      <c r="CQ62" s="9" t="e">
        <f>ROUNDUP(CY62*I61*100/2/DM62,2)</f>
        <v>#N/A</v>
      </c>
      <c r="CR62" s="9" t="e">
        <f t="shared" si="198"/>
        <v>#N/A</v>
      </c>
      <c r="CS62" s="9">
        <f t="shared" ref="CS62" si="204">IF(M62=0,0,ROUNDUP(SQRT(AA62*(M62/10-6)*(M62/10-3))/(X62*X62),2))</f>
        <v>0</v>
      </c>
      <c r="CT62" s="58"/>
      <c r="CU62" s="78"/>
      <c r="CV62" s="78">
        <f>ROUNDUP(IF(VALUE(RIGHT($G$3,4))=1,$I$3*30*F63*100,$I$3*20*F63*100),0)</f>
        <v>0</v>
      </c>
      <c r="CW62" s="78"/>
      <c r="CX62" s="78" t="e">
        <f>ROUNDUP((準備!$F$60/100+準備!$C$48/100)*($G61+$H61)/2,2)</f>
        <v>#N/A</v>
      </c>
      <c r="CY62" s="78" t="e">
        <f>ROUNDUP((準備!$F$60/100+準備!$E$48/100)*($G61+$H61)/2,2)</f>
        <v>#N/A</v>
      </c>
      <c r="CZ62" s="78">
        <f>IF(K62=0,0,ROUNDUP(($CX62*POWER($I61*100,2)/8+FJ62)/$DF62,1))</f>
        <v>0</v>
      </c>
      <c r="DA62" s="63" t="e">
        <f>ROUNDUP(5*$CY62*POWER($I61*100,4)/(384*VLOOKUP(VALUE(RIGHT($J61,4)),許容応力!$L$6:$U$22,10)*100*$DG62),2)+FQ62</f>
        <v>#N/A</v>
      </c>
      <c r="DB62" s="78" t="e">
        <f>ROUND((CX62*I61*100/2)/Z61,1)</f>
        <v>#N/A</v>
      </c>
      <c r="DC62" s="78" t="e">
        <f>ROUNDUP(($CY62*POWER($I61*100,2)/8+FJ62)/$DF62,1)</f>
        <v>#N/A</v>
      </c>
      <c r="DD62" s="63" t="e">
        <f>ROUNDUP(5*$CY62*POWER($I61*100,4)/(384*VLOOKUP(VALUE(RIGHT($J61,4)),許容応力!$L$6:$U$22,10)*100*$DG62),2)+FQ62</f>
        <v>#N/A</v>
      </c>
      <c r="DE62" s="78" t="e">
        <f>ROUND((CY62*I61*100/2)/Z61,1)</f>
        <v>#N/A</v>
      </c>
      <c r="DF62" s="63">
        <f>IF(M62&lt;180,ROUND((M62/10-3)*POWER(M62/10-3,2)/6*IF(AB62=0,1,AB62),0),ROUND((M62/10-5)*POWER(M62/10-3,2)/6*IF($AB62=0,1,$AB62),0))</f>
        <v>-5</v>
      </c>
      <c r="DG62" s="63">
        <f>ROUND(IF(M62&lt;180,(M62/10-3)*POWER((M62/10-3),3)/12*IF(AB62=0,1,AB62),(M62/10-4))*POWER((M62/10-3),3)/12*IF(AB62=0,1,AB62),0)</f>
        <v>-15</v>
      </c>
      <c r="DH62" s="10" t="e">
        <f>IF($DN$6=2,ROUND(VLOOKUP(DQ62,許容応力!$L$6:$U$22,7)*1.1/3*100,0),ROUND(VLOOKUP(DQ62,許容応力!$L$6:$U$22,7)*1.1/3*1.3*100,0))</f>
        <v>#VALUE!</v>
      </c>
      <c r="DI62" s="63" t="e">
        <f>ROUND(VLOOKUP(DQ62,許容応力!$L$6:$U$22,7)*100*2/3*0.8,0)</f>
        <v>#VALUE!</v>
      </c>
      <c r="DJ62" s="10" t="e">
        <f>IF($DN$6=2,ROUND(VLOOKUP(DQ62,許容応力!$L$6:$U$22,8)*1.1/3*100,0),ROUND(VLOOKUP(DQ62,許容応力!$L$6:$U$22,8)*1.1/3*1.3*100,0))</f>
        <v>#VALUE!</v>
      </c>
      <c r="DK62" s="63" t="e">
        <f>ROUND(VLOOKUP(DQ62,許容応力!$L$6:$U$22,8)*100*2/3*0.8,0)</f>
        <v>#VALUE!</v>
      </c>
      <c r="DL62" s="10" t="e">
        <f>IF($DN$6=2,ROUND(VLOOKUP(DQ62,許容応力!$L$6:$U$22,9)*1.1/3*100,0),ROUND(VLOOKUP(DQ62,許容応力!$L$6:$U$22,9)*1.1/3*1.3*100,0))</f>
        <v>#VALUE!</v>
      </c>
      <c r="DM62" s="63" t="e">
        <f>ROUND(VLOOKUP(DQ62,許容応力!$L$6:$U$22,9)*100*2/3*0.8,0)</f>
        <v>#VALUE!</v>
      </c>
      <c r="DN62" s="63">
        <v>600</v>
      </c>
      <c r="DO62" s="78">
        <f>ROUND(I61*100/DN62,2)</f>
        <v>0</v>
      </c>
      <c r="DP62" s="78"/>
      <c r="DQ62" s="78" t="e">
        <f>+VALUE(RIGHT(J61,3))</f>
        <v>#VALUE!</v>
      </c>
      <c r="DR62" s="92" t="e">
        <f>ROUND(ATAN(D63/10)*180/PI(),4)</f>
        <v>#VALUE!</v>
      </c>
      <c r="DS62" s="80" t="e">
        <f t="shared" si="200"/>
        <v>#VALUE!</v>
      </c>
      <c r="DT62" s="78">
        <f>VLOOKUP(VALUE(RIGHT(C61,4)),$C$632:$F$641,4)</f>
        <v>225</v>
      </c>
      <c r="DU62" s="78">
        <f>ROUND(I61*100/DT62,2)</f>
        <v>0</v>
      </c>
      <c r="DV62" s="78"/>
      <c r="DW62" s="78" t="e">
        <f>ROUNDUP((準備!$F$60/100+準備!$E$48/100)*($G61+$H61)/2,2)</f>
        <v>#N/A</v>
      </c>
      <c r="DX62" s="78" t="e">
        <f>ROUNDUP((準備!$F$60/100+準備!$E$48/100)*($G61+$H61)/2,2)</f>
        <v>#N/A</v>
      </c>
      <c r="DY62" s="71">
        <f>IF(I61&lt;6,POWER(M62/10,2)*I61/10000,POWER((M62/10+(ROUNDDOWN(I61,0)-4)/2),2)*I61/10000)</f>
        <v>0</v>
      </c>
      <c r="DZ62" s="78">
        <v>200</v>
      </c>
      <c r="EA62" s="93">
        <f>ROUND(DY62*DZ62/100,0)</f>
        <v>0</v>
      </c>
      <c r="EB62" s="78" t="e">
        <f>ROUND((CX62*I61*100/2+EA62)/AM62,1)</f>
        <v>#N/A</v>
      </c>
      <c r="EC62" s="78" t="e">
        <f t="shared" si="201"/>
        <v>#N/A</v>
      </c>
      <c r="ED62" s="78" t="e">
        <f>ROUND((CY62*I61*100/2+EA62)/AM62,1)</f>
        <v>#N/A</v>
      </c>
      <c r="EE62" s="78" t="e">
        <f t="shared" si="202"/>
        <v>#N/A</v>
      </c>
      <c r="EF62" s="78"/>
      <c r="EG62" s="78" t="e">
        <f>+VALUE(RIGHT(H63,4))</f>
        <v>#VALUE!</v>
      </c>
      <c r="EH62" s="78"/>
      <c r="EI62" s="78" t="str">
        <f>IF(M62=0,"",ROUND(CX62*I61*100/2/DJ62,2))</f>
        <v/>
      </c>
      <c r="EJ62" s="78" t="str">
        <f>IF(M62=0,"",ROUND(CY62*I61*100/2/DK62,2))</f>
        <v/>
      </c>
      <c r="EK62" s="78"/>
      <c r="EL62" s="63" t="e">
        <f>IF(AB62=0.8,VLOOKUP(ER62,$CR$395:$CS$439,2),IF(AB62=0.9,VLOOKUP(ER62,$CR$348:$CS$394,2),VLOOKUP(ER62,$CR$301:$CS$344,2)))</f>
        <v>#N/A</v>
      </c>
      <c r="EM62" s="63" t="e">
        <f>IF(AB62=0.8,VLOOKUP(ES62,$CT$395:$CU$439,2),IF(AB62=0.9,VLOOKUP(ES62,$CT$348:$CU$394,2),VLOOKUP(ES62,$CT$301:$CU$344,2)))</f>
        <v>#N/A</v>
      </c>
      <c r="EO62" s="63" t="e">
        <f>IF(AB62=0.8,VLOOKUP(EU62,$CR$395:$CS$439,2),IF(AB62=0.9,VLOOKUP(EU62,$CR$348:$CS$394,2),VLOOKUP(EU62,$CR$301:$CS$344,2)))</f>
        <v>#N/A</v>
      </c>
      <c r="EP62" s="63" t="e">
        <f>IF(AB62=0.8,VLOOKUP(EV62,$CT$395:$CU$439,2),IF(AB62=0.9,VLOOKUP(EV62,$CT$348:$CU$394,2),VLOOKUP(EV62,$CT$301:$CU$344,2)))</f>
        <v>#N/A</v>
      </c>
      <c r="EQ62" s="155" t="e">
        <f t="shared" si="203"/>
        <v>#N/A</v>
      </c>
      <c r="ER62" s="78" t="e">
        <f>ROUNDUP(($CX62*POWER($I61*100,2)/8+FJ62)/$DH62,1)</f>
        <v>#N/A</v>
      </c>
      <c r="ES62" s="78" t="e">
        <f>ROUNDUP(5*$DW62*POWER($I61*100,4)/(384*VLOOKUP(VALUE(RIGHT($J61,4)),許容応力!$B$6:$K$22,10)*100*$DO62),2)+GB62</f>
        <v>#N/A</v>
      </c>
      <c r="ET62" s="78"/>
      <c r="EU62" s="78" t="e">
        <f>ROUNDUP(($CY62*POWER($I61*100,2)/8+FJ62)/$DI62,1)</f>
        <v>#N/A</v>
      </c>
      <c r="EV62" s="78" t="e">
        <f>ROUNDUP(5*$CY62*POWER($I61*100,4)/(384*VLOOKUP(VALUE(RIGHT($J61,4)),許容応力!$B$6:$K$22,10)*100*$DU62),2)+GE62</f>
        <v>#N/A</v>
      </c>
      <c r="EW62" s="78"/>
      <c r="EX62" s="78"/>
      <c r="EY62" s="78"/>
      <c r="EZ62" s="78"/>
      <c r="FA62" s="78"/>
      <c r="FB62" s="3">
        <v>1</v>
      </c>
      <c r="FC62" s="3">
        <v>2</v>
      </c>
      <c r="FD62" s="3">
        <v>3</v>
      </c>
      <c r="FE62" s="3">
        <v>4</v>
      </c>
      <c r="FF62" s="3">
        <v>5</v>
      </c>
      <c r="FG62" s="3">
        <v>6</v>
      </c>
      <c r="FI62" s="3" t="s">
        <v>1019</v>
      </c>
      <c r="FJ62" s="63">
        <f>IF(F63=0,0,ROUND(EH61*POWER(I61*100,2)/8,2))</f>
        <v>0</v>
      </c>
      <c r="FK62" s="3">
        <f>IF(F63=0,0,ROUND(5*EH61*POWER(I61*100,4)/(384*FL62),2))</f>
        <v>0</v>
      </c>
      <c r="FL62" s="642">
        <f>IF(F63=0,0,+VLOOKUP(VALUE(RIGHT(J61,4)),許容応力!$B$6:$K$22,10)*100)</f>
        <v>0</v>
      </c>
      <c r="FM62" s="3">
        <f>IF(F63=0,0,ROUND((FJ62)/DF61,1))</f>
        <v>0</v>
      </c>
      <c r="FN62" s="3">
        <f>IF(F63=0,0,ROUND(FK62/DG61,2))</f>
        <v>0</v>
      </c>
      <c r="FO62" s="3">
        <f>IF(F63=0,0,ROUND(FJ63/Z61,1))</f>
        <v>0</v>
      </c>
      <c r="FP62" s="3">
        <f>+FM62</f>
        <v>0</v>
      </c>
      <c r="FQ62" s="3">
        <f>+FN62</f>
        <v>0</v>
      </c>
      <c r="FR62" s="3">
        <f>+FO62</f>
        <v>0</v>
      </c>
      <c r="FS62" s="3">
        <f>IF(F63=0,0,ROUND(VLOOKUP(VALUE(RIGHT(J61,4)),許容応力!$B$6:$K$22,9)*1.1/3*100,0))</f>
        <v>0</v>
      </c>
      <c r="FT62" s="3">
        <f>IF(F63=0,0,ROUND(VLOOKUP(VALUE(RIGHT($J61,4)),許容応力!$B$6:$K$22,9)*2/3*0.8*100,0))</f>
        <v>0</v>
      </c>
      <c r="FU62" s="3">
        <f>IF(F63=0,0,ROUND(FM62/CZ61,2))</f>
        <v>0</v>
      </c>
      <c r="FV62" s="3">
        <f>IF(F63=0,0,ROUND(FN62/DA61,2))</f>
        <v>0</v>
      </c>
      <c r="FW62" s="3">
        <f>IF(F63=0,0,ROUND(FO62/DB61,2))</f>
        <v>0</v>
      </c>
      <c r="FX62" s="3">
        <f>IF(F63=0,0,ROUND(FP62/DC61,2))</f>
        <v>0</v>
      </c>
      <c r="FY62" s="3">
        <f>IF(F63=0,0,ROUND(FQ62/DD61,2))</f>
        <v>0</v>
      </c>
      <c r="FZ62" s="3">
        <f>IF(F63=0,0,ROUND(FR62/DE61,2))</f>
        <v>0</v>
      </c>
      <c r="GA62" s="87">
        <f>IF(F63=0,0,ROUNDUP(EH61*POWER(I61*100,2)/8/DH61,1))</f>
        <v>0</v>
      </c>
      <c r="GB62" s="87">
        <f>IF(F63=0,0,ROUNDUP(5*EH61*POWER(I61*100,4)/(384*VLOOKUP(VALUE(RIGHT($J61,4)),許容応力!$B$6:$K$22,10)*100*$DO61),2))</f>
        <v>0</v>
      </c>
      <c r="GC62" s="87"/>
      <c r="GD62" s="87">
        <f>+GA62</f>
        <v>0</v>
      </c>
      <c r="GE62" s="87">
        <f>+GB62</f>
        <v>0</v>
      </c>
    </row>
    <row r="63" spans="2:187" ht="15.95" customHeight="1" thickBot="1" x14ac:dyDescent="0.2">
      <c r="B63" s="1650"/>
      <c r="C63" s="1258"/>
      <c r="D63" s="1580" t="s">
        <v>1248</v>
      </c>
      <c r="E63" s="1581"/>
      <c r="F63" s="1126"/>
      <c r="G63" s="280" t="s">
        <v>1250</v>
      </c>
      <c r="H63" s="1127"/>
      <c r="I63" s="841" t="s">
        <v>1004</v>
      </c>
      <c r="J63" s="1114"/>
      <c r="K63" s="842"/>
      <c r="L63" s="843"/>
      <c r="M63" s="841"/>
      <c r="N63" s="843"/>
      <c r="O63" s="915"/>
      <c r="P63" s="845"/>
      <c r="Q63" s="881"/>
      <c r="R63" s="881"/>
      <c r="S63" s="880"/>
      <c r="T63" s="881"/>
      <c r="U63" s="881"/>
      <c r="V63" s="843"/>
      <c r="W63" s="845"/>
      <c r="X63" s="855"/>
      <c r="Y63" s="847"/>
      <c r="Z63" s="874"/>
      <c r="AA63" s="845"/>
      <c r="AB63" s="1149"/>
      <c r="AC63" s="848"/>
      <c r="AD63" s="848"/>
      <c r="AE63" s="845"/>
      <c r="AF63" s="848"/>
      <c r="AG63" s="848"/>
      <c r="AH63" s="849"/>
      <c r="AI63" s="856"/>
      <c r="AJ63" s="857"/>
      <c r="AK63" s="858"/>
      <c r="AL63" s="859"/>
      <c r="AM63" s="847"/>
      <c r="AN63" s="847"/>
      <c r="AO63" s="854"/>
      <c r="AP63" s="184"/>
      <c r="AQ63" s="185"/>
      <c r="AR63" s="23"/>
      <c r="AS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916"/>
      <c r="CO63" s="548"/>
      <c r="CP63" s="9"/>
      <c r="CQ63" s="9"/>
      <c r="CR63" s="9"/>
      <c r="CS63" s="9"/>
      <c r="CT63" s="58"/>
      <c r="CU63" s="78"/>
      <c r="CV63" s="78"/>
      <c r="CW63" s="78"/>
      <c r="CX63" s="78"/>
      <c r="CY63" s="78"/>
      <c r="CZ63" s="78"/>
      <c r="DA63" s="63"/>
      <c r="DB63" s="78"/>
      <c r="DC63" s="78"/>
      <c r="DD63" s="63"/>
      <c r="DE63" s="78"/>
      <c r="DF63" s="63"/>
      <c r="DG63" s="63"/>
      <c r="DH63" s="10"/>
      <c r="DI63" s="63"/>
      <c r="DJ63" s="10"/>
      <c r="DK63" s="63"/>
      <c r="DL63" s="10"/>
      <c r="DM63" s="63"/>
      <c r="DN63" s="63"/>
      <c r="DO63" s="78"/>
      <c r="DP63" s="78"/>
      <c r="DQ63" s="78"/>
      <c r="DR63" s="92"/>
      <c r="DS63" s="80"/>
      <c r="DT63" s="78"/>
      <c r="DU63" s="78"/>
      <c r="DV63" s="78"/>
      <c r="DW63" s="78"/>
      <c r="DX63" s="78"/>
      <c r="DY63" s="71"/>
      <c r="DZ63" s="78"/>
      <c r="EA63" s="93"/>
      <c r="EB63" s="78"/>
      <c r="EC63" s="78"/>
      <c r="ED63" s="78"/>
      <c r="EE63" s="78"/>
      <c r="EF63" s="78"/>
      <c r="EG63" s="78"/>
      <c r="EH63" s="78"/>
      <c r="EI63" s="78"/>
      <c r="EJ63" s="78"/>
      <c r="EK63" s="78"/>
      <c r="EL63" s="63"/>
      <c r="EM63" s="63"/>
      <c r="EO63" s="63"/>
      <c r="EP63" s="63"/>
      <c r="EQ63" s="155"/>
      <c r="ER63" s="78"/>
      <c r="ES63" s="78"/>
      <c r="ET63" s="78"/>
      <c r="EU63" s="78"/>
      <c r="EV63" s="78"/>
      <c r="EW63" s="78"/>
      <c r="EX63" s="78"/>
      <c r="EY63" s="78"/>
      <c r="EZ63" s="78"/>
      <c r="FA63" s="78"/>
      <c r="FB63" s="128">
        <f>+準備!$G$20/100*J63</f>
        <v>0</v>
      </c>
      <c r="FC63" s="128">
        <f>+準備!$G$24/100*J63</f>
        <v>0</v>
      </c>
      <c r="FD63" s="128">
        <f>+準備!$G$28/100*J63</f>
        <v>0</v>
      </c>
      <c r="FE63" s="128">
        <f>+準備!$G$32/100*J63</f>
        <v>0</v>
      </c>
      <c r="FF63" s="128">
        <f>+準備!$G$36/100*J63</f>
        <v>0</v>
      </c>
      <c r="FG63" s="128">
        <f>+準備!$G$38/100*J63</f>
        <v>0</v>
      </c>
      <c r="FI63" s="3" t="s">
        <v>1018</v>
      </c>
      <c r="FJ63" s="63">
        <f>IF(F63=0,0,ROUND(EH61*I61*100/2,2))</f>
        <v>0</v>
      </c>
      <c r="FK63" s="63"/>
      <c r="FM63" s="3">
        <f t="shared" ref="FM63:FR63" si="205">+FM62</f>
        <v>0</v>
      </c>
      <c r="FN63" s="3">
        <f t="shared" si="205"/>
        <v>0</v>
      </c>
      <c r="FO63" s="3">
        <f t="shared" si="205"/>
        <v>0</v>
      </c>
      <c r="FP63" s="3">
        <f t="shared" si="205"/>
        <v>0</v>
      </c>
      <c r="FQ63" s="3">
        <f t="shared" si="205"/>
        <v>0</v>
      </c>
      <c r="FR63" s="3">
        <f t="shared" si="205"/>
        <v>0</v>
      </c>
      <c r="FS63" s="3">
        <f>IF(F63=0,0,ROUND(EH61*I61*100/2/FS62/AM61,2))</f>
        <v>0</v>
      </c>
      <c r="FT63" s="3">
        <f>IF(F63=0,0,ROUND(EH61*I61*100/2/FT62/AM61,2))</f>
        <v>0</v>
      </c>
      <c r="FU63" s="3">
        <f t="shared" ref="FU63:FZ63" si="206">+FU62</f>
        <v>0</v>
      </c>
      <c r="FV63" s="3">
        <f t="shared" si="206"/>
        <v>0</v>
      </c>
      <c r="FW63" s="3">
        <f t="shared" si="206"/>
        <v>0</v>
      </c>
      <c r="FX63" s="3">
        <f t="shared" si="206"/>
        <v>0</v>
      </c>
      <c r="FY63" s="3">
        <f t="shared" si="206"/>
        <v>0</v>
      </c>
      <c r="FZ63" s="3">
        <f t="shared" si="206"/>
        <v>0</v>
      </c>
    </row>
    <row r="64" spans="2:187" ht="15.95" customHeight="1" x14ac:dyDescent="0.15">
      <c r="B64" s="1650"/>
      <c r="C64" s="1640" t="s">
        <v>1287</v>
      </c>
      <c r="D64" s="331"/>
      <c r="E64" s="1576"/>
      <c r="F64" s="1577"/>
      <c r="G64" s="1563"/>
      <c r="H64" s="1563"/>
      <c r="I64" s="1563"/>
      <c r="J64" s="1565"/>
      <c r="K64" s="1117"/>
      <c r="L64" s="196">
        <f>+IF(K64=0,0,"×")</f>
        <v>0</v>
      </c>
      <c r="M64" s="241">
        <f>IF(K64=0,0,+EQ64)</f>
        <v>0</v>
      </c>
      <c r="N64" s="242" t="str">
        <f t="shared" ref="N64:N65" si="207">IF(AC64=+"","",IF(AND(AC64&lt;=1,AD64&lt;=1,AF64&lt;=1,AG64&lt;=1),"OK!","NO!"))</f>
        <v/>
      </c>
      <c r="O64" s="1520">
        <f>IF(Z64=0,0,IF(AND(U64=0,X64=0),0,IF(IF(AE64&gt;=AH64,AE64,AH64)&lt;=1,"OK!","NO!")))</f>
        <v>0</v>
      </c>
      <c r="P64" s="1476"/>
      <c r="Q64" s="1488"/>
      <c r="R64" s="1488"/>
      <c r="S64" s="1616">
        <f t="shared" ref="S64" si="208">+IF(R64=0,0,6)</f>
        <v>0</v>
      </c>
      <c r="T64" s="1488"/>
      <c r="U64" s="1488"/>
      <c r="V64" s="196" t="str">
        <f>+AG$185</f>
        <v/>
      </c>
      <c r="W64" s="1577">
        <f>IF(U64=0,0,+VLOOKUP(V64,$I$204:$J$209,2))</f>
        <v>0</v>
      </c>
      <c r="X64" s="1486"/>
      <c r="Y64" s="1468">
        <f>IF(X64=0,0,+CS64)</f>
        <v>0</v>
      </c>
      <c r="Z64" s="1313">
        <f>IF(AND(R64=0,X64=0),0,+IF(AND(VALUE(RIGHT(P64,4))=2,R64&gt;0),0,IF(AND(VALUE(RIGHT(P64,4))=1,X64&gt;0),0,CM64)))</f>
        <v>0</v>
      </c>
      <c r="AA64" s="1466">
        <f>IF(X64=0,0,IF(EI64&gt;=EJ64,EI64,EJ64))</f>
        <v>0</v>
      </c>
      <c r="AB64" s="1121"/>
      <c r="AC64" s="201" t="str">
        <f t="shared" ref="AC64:AC65" si="209">IF(M64=0,"",ROUNDUP(CZ64/DH64,2))</f>
        <v/>
      </c>
      <c r="AD64" s="201" t="str">
        <f t="shared" ref="AD64:AD65" si="210">IF(M64=0,"",ROUND(DA64/DO64,2))</f>
        <v/>
      </c>
      <c r="AE64" s="1466">
        <f>IF(G64=+"",0,IF(AND(U64=0,X64=0),0,IF(X64=0,ROUND(DB64/(DJ64*$CP$4*W64),2),ROUND(DB64/DJ64,2))))</f>
        <v>0</v>
      </c>
      <c r="AF64" s="201" t="str">
        <f t="shared" ref="AF64:AF65" si="211">IF(M64=0,"",ROUNDUP(DC64/DI64,2))</f>
        <v/>
      </c>
      <c r="AG64" s="201" t="str">
        <f t="shared" ref="AG64:AG65" si="212">IF(M64=0,"",ROUNDUP(DD64/DU64,2))</f>
        <v/>
      </c>
      <c r="AH64" s="1466">
        <f>IF(G64=+"",0,IF(AND(U64=0,X64=0),0,IF(X64=0,ROUND(DE64/(DK64*$CP$4*W64),2),ROUND(DE64/DK64,2))))</f>
        <v>0</v>
      </c>
      <c r="AI64" s="818"/>
      <c r="AJ64" s="811"/>
      <c r="AK64" s="823"/>
      <c r="AL64" s="812"/>
      <c r="AM64" s="1631">
        <f>IF(AI64=0,0,ROUND(AI64*AJ64+AK64*AL64+AI65*AJ65+AK65*AL65,2))</f>
        <v>0</v>
      </c>
      <c r="AN64" s="1631">
        <f t="shared" ref="AN64" si="213">IF(AJ64=0,0,IF(CO64=1,CN64/($CP$4*W64),CN64))</f>
        <v>0</v>
      </c>
      <c r="AO64" s="1635" t="str">
        <f t="shared" ref="AO64" si="214">IF(AN64=0,"",IF(AN64&lt;=1,"OK!","NO!"))</f>
        <v/>
      </c>
      <c r="AP64" s="186">
        <f>+IF(I64=0,0,"1/")</f>
        <v>0</v>
      </c>
      <c r="AQ64" s="187">
        <f>IF(I64=0,0,+DN64)</f>
        <v>0</v>
      </c>
      <c r="AR64" s="23"/>
      <c r="AS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1313">
        <f>IF(AND(U64=0,X64=0),0,IF(U64&gt;0,AG$196/100*$CP$4*W64,ROUND(POWER(X64*Y64,2)/(K64/10*M64/10),2)))</f>
        <v>0</v>
      </c>
      <c r="CN64" s="1304" t="str">
        <f>IF($AJ64=0,"",IF($EC64&gt;=$EE64,$EC64+FN65,$EE64+FN65))</f>
        <v/>
      </c>
      <c r="CO64" s="552">
        <f>IF(P64=0,0,+VALUE(RIGHT(P64,4)))</f>
        <v>0</v>
      </c>
      <c r="CP64" s="91" t="e">
        <f>ROUNDUP(CX64*I64*100/2/DL64,2)</f>
        <v>#N/A</v>
      </c>
      <c r="CQ64" s="91" t="e">
        <f>ROUNDUP(CY64*I64*100/2/DM64,2)</f>
        <v>#N/A</v>
      </c>
      <c r="CR64" s="91" t="e">
        <f t="shared" ref="CR64:CR65" si="215">IF(CP64&gt;=CQ64,CP64,CQ64)</f>
        <v>#N/A</v>
      </c>
      <c r="CS64" s="9">
        <f t="shared" ref="CS64" si="216">IF(M64=0,0,ROUNDUP(SQRT((AA64*K64/10*M64/10)/(X64*X64)),2))</f>
        <v>0</v>
      </c>
      <c r="CT64" s="94"/>
      <c r="CU64" s="95"/>
      <c r="CV64" s="87">
        <f>ROUNDUP(IF(VALUE(RIGHT($G$3,4))=1,$I$3*30*F66*100,$I$3*20*F66*100),0)</f>
        <v>0</v>
      </c>
      <c r="CW64" s="87"/>
      <c r="CX64" s="87" t="e">
        <f>ROUNDUP((準備!$F$60/100+準備!$C$48/100)*($G64+$H64)/2,2)</f>
        <v>#N/A</v>
      </c>
      <c r="CY64" s="87" t="e">
        <f>ROUNDUP((準備!$F$60/100+準備!$E$48/100)*($G64+$H64)/2,2)</f>
        <v>#N/A</v>
      </c>
      <c r="CZ64" s="87" t="e">
        <f>ROUNDUP(($CX64*POWER($I64*100,2)/8+FJ65)/$DF64,1)</f>
        <v>#N/A</v>
      </c>
      <c r="DA64" s="87" t="e">
        <f>ROUNDUP(5*$DW64*POWER($I64*100,4)/(384*VLOOKUP(VALUE(RIGHT($J64,4)),許容応力!$B$6:$K$22,10)*100*$DG64),2)+FN65</f>
        <v>#N/A</v>
      </c>
      <c r="DB64" s="87" t="e">
        <f>ROUND((CX64*I64*100/2)/Z64,1)</f>
        <v>#N/A</v>
      </c>
      <c r="DC64" s="87" t="e">
        <f>ROUNDUP(($CY64*POWER($I64*100,2)/8+FJ65)/$DF64,1)</f>
        <v>#N/A</v>
      </c>
      <c r="DD64" s="87" t="e">
        <f>ROUNDUP(5*$CY64*POWER($I64*100,4)/(384*VLOOKUP(VALUE(RIGHT($J64,4)),許容応力!$B$6:$K$22,10)*100*$DG64),2)+FQ65</f>
        <v>#N/A</v>
      </c>
      <c r="DE64" s="87" t="e">
        <f>ROUND((CY64*I64*100/2)/Z64,1)</f>
        <v>#N/A</v>
      </c>
      <c r="DF64" s="87">
        <f>ROUNDDOWN($K64/10*POWER($M64/10,2)/6*IF(OR($AB64=0,$AB64=1),1,$AB64),0)</f>
        <v>0</v>
      </c>
      <c r="DG64" s="87">
        <f>ROUNDDOWN($K64/10*POWER($M64/10,3)/12*IF(OR($AB64=0,$AB64=1),1,$AB64),0)</f>
        <v>0</v>
      </c>
      <c r="DH64" s="88" t="e">
        <f>VLOOKUP(DQ64,許容応力!$B$6:$K$22,7)*1.1/3*100</f>
        <v>#VALUE!</v>
      </c>
      <c r="DI64" s="87" t="e">
        <f>ROUND(VLOOKUP(DQ64,許容応力!$B$6:$K$22,7)*100*2/3*0.8,0)</f>
        <v>#VALUE!</v>
      </c>
      <c r="DJ64" s="10" t="e">
        <f>IF($DN$6=2,ROUND(VLOOKUP(DQ64,許容応力!$B$6:$K$22,8)*1.1/3*100,0),ROUND(VLOOKUP(DQ64,許容応力!$B$6:$K$22,8)*1.1/3*1.3*100,0))</f>
        <v>#VALUE!</v>
      </c>
      <c r="DK64" s="87" t="e">
        <f>ROUND(VLOOKUP(DQ64,許容応力!$B$6:$K$22,8)*100*2/3*0.8,0)</f>
        <v>#VALUE!</v>
      </c>
      <c r="DL64" s="10" t="e">
        <f>IF($DN$6=2,ROUND(VLOOKUP(DQ64,許容応力!$B$6:$K$22,9)*1.1/3*100,0),ROUND(VLOOKUP(DQ64,許容応力!$B$6:$K$22,9)*1.1/3*1.3*100,0))</f>
        <v>#VALUE!</v>
      </c>
      <c r="DM64" s="87" t="e">
        <f>ROUND(VLOOKUP(DQ64,許容応力!$B$6:$K$22,9)*100*2/3*0.8,0)</f>
        <v>#VALUE!</v>
      </c>
      <c r="DN64" s="63">
        <v>600</v>
      </c>
      <c r="DO64" s="87">
        <f>ROUND(I64*100/DN64,2)</f>
        <v>0</v>
      </c>
      <c r="DP64" s="87"/>
      <c r="DQ64" s="87" t="e">
        <f>+VALUE(RIGHT(J64,3))</f>
        <v>#VALUE!</v>
      </c>
      <c r="DR64" s="89" t="e">
        <f>ROUND(ATAN(D66/10)*180/PI(),4)</f>
        <v>#VALUE!</v>
      </c>
      <c r="DS64" s="90" t="e">
        <f t="shared" ref="DS64:DS65" si="217">ROUND(COS(DR64*PI()/180),3)</f>
        <v>#VALUE!</v>
      </c>
      <c r="DT64" s="87">
        <f>VLOOKUP(VALUE(RIGHT(C64,4)),$C$632:$F$641,4)</f>
        <v>225</v>
      </c>
      <c r="DU64" s="87">
        <f>ROUND(I64*100/DT64,2)</f>
        <v>0</v>
      </c>
      <c r="DV64" s="87"/>
      <c r="DW64" s="87" t="e">
        <f>ROUNDUP((準備!$F$60/100+準備!$E$48/100)*($G64+$H64)/2,2)</f>
        <v>#N/A</v>
      </c>
      <c r="DX64" s="87" t="e">
        <f>ROUNDUP((準備!$F$60/100+準備!$E$48/100)*($G64+$H64)/2,2)</f>
        <v>#N/A</v>
      </c>
      <c r="DY64" s="87"/>
      <c r="DZ64" s="87"/>
      <c r="EA64" s="87"/>
      <c r="EB64" s="87" t="e">
        <f>ROUND(CX64*I64*100/2/AM64,1)</f>
        <v>#N/A</v>
      </c>
      <c r="EC64" s="87" t="e">
        <f t="shared" ref="EC64:EC65" si="218">ROUND(EB64/DL64,2)</f>
        <v>#N/A</v>
      </c>
      <c r="ED64" s="87" t="e">
        <f>ROUND(CY64*I64*100/2/AM64,1)</f>
        <v>#N/A</v>
      </c>
      <c r="EE64" s="87" t="e">
        <f t="shared" ref="EE64:EE65" si="219">ROUND(ED64/DM64,2)</f>
        <v>#N/A</v>
      </c>
      <c r="EF64" s="87"/>
      <c r="EG64" s="87">
        <f>IF(F66=0,0,+VALUE(RIGHT(F66,4)))</f>
        <v>0</v>
      </c>
      <c r="EH64" s="3">
        <f>+IF(EG64=1,HLOOKUP(EG65,FB65:FG66,2),0)</f>
        <v>0</v>
      </c>
      <c r="EI64" s="87" t="str">
        <f>IF(M64=0,"",ROUND(CX64*I64*100/2/DJ64,2))</f>
        <v/>
      </c>
      <c r="EJ64" s="87" t="str">
        <f>IF(M64=0,"",ROUND(CY64*I64*100/2/DK64,2))</f>
        <v/>
      </c>
      <c r="EK64" s="87"/>
      <c r="EL64" s="63" t="e">
        <f>ROUNDUP(ER64/3,-1)*3</f>
        <v>#N/A</v>
      </c>
      <c r="EM64" s="63" t="e">
        <f>ROUNDUP(ES64/3,-1)*3</f>
        <v>#N/A</v>
      </c>
      <c r="EO64" s="63" t="e">
        <f>ROUNDUP(EU64/3,-1)*3</f>
        <v>#N/A</v>
      </c>
      <c r="EP64" s="63" t="e">
        <f>ROUNDUP(EV64/3,-1)*3</f>
        <v>#N/A</v>
      </c>
      <c r="EQ64" s="155" t="e">
        <f t="shared" ref="EQ64:EQ65" si="220">+MAX(EL64:EP64)</f>
        <v>#N/A</v>
      </c>
      <c r="ER64" s="87" t="e">
        <f>ROUNDUP(SQRT(EW64/($K64/10)*6/IF(OR($AB64=0,$AB64=1),1,$AB64)),0)*10</f>
        <v>#N/A</v>
      </c>
      <c r="ES64" s="87" t="e">
        <f>POWER(ROUNDUP(EX64/($K64/10)*12/IF(OR($AB64=0,$AB64=1),1,$AB64),0),1/3)*10</f>
        <v>#N/A</v>
      </c>
      <c r="EU64" s="87" t="e">
        <f>ROUNDUP(SQRT(EZ64/($K64/10)*6/IF(OR($AB64=0,$AB64=1),1,$AB64))*10,0)</f>
        <v>#N/A</v>
      </c>
      <c r="EV64" s="87" t="e">
        <f>POWER(ROUNDUP(FA64/($K64/10)*12/IF(OR($AB64=0,$AB64=1),1,$AB64),0),1/3)*10</f>
        <v>#N/A</v>
      </c>
      <c r="EW64" s="87" t="e">
        <f>ROUNDUP(($CX64*POWER($I64*100,2)/8+FJ65)/$DH64,1)</f>
        <v>#N/A</v>
      </c>
      <c r="EX64" s="87" t="e">
        <f>ROUNDUP(5*$DW64*POWER($I64*100,4)/(384*VLOOKUP(VALUE(RIGHT($J64,4)),許容応力!$B$6:$K$22,10)*100*$DO64),2)+GB65</f>
        <v>#N/A</v>
      </c>
      <c r="EY64" s="87"/>
      <c r="EZ64" s="87" t="e">
        <f>ROUNDUP(($CY64*POWER($I64*100,2)/8+FJ65)/$DI64,1)</f>
        <v>#N/A</v>
      </c>
      <c r="FA64" s="87" t="e">
        <f>ROUNDUP(5*$CY64*POWER($I64*100,4)/(384*VLOOKUP(VALUE(RIGHT($J64,4)),許容応力!$B$6:$K$22,10)*100*$DU64),2)+GE65</f>
        <v>#N/A</v>
      </c>
      <c r="FB64" s="410" t="s">
        <v>1005</v>
      </c>
      <c r="FC64" s="3" t="s">
        <v>1007</v>
      </c>
      <c r="FD64" s="3" t="s">
        <v>1008</v>
      </c>
      <c r="FE64" s="3" t="s">
        <v>1009</v>
      </c>
      <c r="FF64" s="3" t="s">
        <v>1010</v>
      </c>
      <c r="FG64" s="410" t="s">
        <v>1006</v>
      </c>
      <c r="FH64" s="410" t="s">
        <v>1016</v>
      </c>
      <c r="FI64" s="3" t="s">
        <v>258</v>
      </c>
      <c r="FK64" s="3" t="s">
        <v>189</v>
      </c>
      <c r="FL64" s="3" t="s">
        <v>18</v>
      </c>
      <c r="FM64" s="412" t="s">
        <v>1013</v>
      </c>
      <c r="FN64" s="349" t="s">
        <v>1014</v>
      </c>
      <c r="FO64" s="412" t="s">
        <v>1015</v>
      </c>
      <c r="FP64" s="412" t="s">
        <v>1013</v>
      </c>
      <c r="FQ64" s="349" t="s">
        <v>1014</v>
      </c>
      <c r="FR64" s="412" t="s">
        <v>1015</v>
      </c>
      <c r="FS64" s="3" t="s">
        <v>1223</v>
      </c>
      <c r="FT64" s="3" t="s">
        <v>1224</v>
      </c>
      <c r="FU64" s="412" t="s">
        <v>1065</v>
      </c>
      <c r="FV64" s="349" t="s">
        <v>1066</v>
      </c>
      <c r="FW64" s="412" t="s">
        <v>1067</v>
      </c>
      <c r="FX64" s="412" t="s">
        <v>1065</v>
      </c>
      <c r="FY64" s="349" t="s">
        <v>1066</v>
      </c>
      <c r="FZ64" s="412" t="s">
        <v>1067</v>
      </c>
    </row>
    <row r="65" spans="2:187" ht="15.95" customHeight="1" x14ac:dyDescent="0.15">
      <c r="B65" s="1650"/>
      <c r="C65" s="1639"/>
      <c r="D65" s="831"/>
      <c r="E65" s="1578"/>
      <c r="F65" s="1578"/>
      <c r="G65" s="1564"/>
      <c r="H65" s="1564"/>
      <c r="I65" s="1564"/>
      <c r="J65" s="1566"/>
      <c r="K65" s="1567">
        <f>+IF(J64=0,0,"丸太末口 φ")</f>
        <v>0</v>
      </c>
      <c r="L65" s="1568"/>
      <c r="M65" s="832">
        <f>IF(J64=0,0,+EQ65)</f>
        <v>0</v>
      </c>
      <c r="N65" s="833" t="str">
        <f t="shared" si="207"/>
        <v/>
      </c>
      <c r="O65" s="1571"/>
      <c r="P65" s="1477"/>
      <c r="Q65" s="1489"/>
      <c r="R65" s="1489"/>
      <c r="S65" s="1576"/>
      <c r="T65" s="1489"/>
      <c r="U65" s="1489"/>
      <c r="V65" s="1022" t="str">
        <f>+AG$184</f>
        <v/>
      </c>
      <c r="W65" s="1578"/>
      <c r="X65" s="1487"/>
      <c r="Y65" s="1469"/>
      <c r="Z65" s="1485"/>
      <c r="AA65" s="1467"/>
      <c r="AB65" s="1124"/>
      <c r="AC65" s="834" t="str">
        <f t="shared" si="209"/>
        <v/>
      </c>
      <c r="AD65" s="834" t="str">
        <f t="shared" si="210"/>
        <v/>
      </c>
      <c r="AE65" s="1467"/>
      <c r="AF65" s="834" t="str">
        <f t="shared" si="211"/>
        <v/>
      </c>
      <c r="AG65" s="834" t="str">
        <f t="shared" si="212"/>
        <v/>
      </c>
      <c r="AH65" s="1474"/>
      <c r="AI65" s="835"/>
      <c r="AJ65" s="836"/>
      <c r="AK65" s="837"/>
      <c r="AL65" s="838"/>
      <c r="AM65" s="1469"/>
      <c r="AN65" s="1632"/>
      <c r="AO65" s="1636"/>
      <c r="AP65" s="839">
        <f>+IF(I64=0,0,"1/")</f>
        <v>0</v>
      </c>
      <c r="AQ65" s="840">
        <f>IF(I64=0,0,+DN65)</f>
        <v>0</v>
      </c>
      <c r="AR65" s="23"/>
      <c r="AS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1312"/>
      <c r="CN65" s="1301"/>
      <c r="CO65" s="548"/>
      <c r="CP65" s="9" t="e">
        <f>ROUNDUP(CX65*I64*100/2/DL65,2)</f>
        <v>#N/A</v>
      </c>
      <c r="CQ65" s="9" t="e">
        <f>ROUNDUP(CY65*I64*100/2/DM65,2)</f>
        <v>#N/A</v>
      </c>
      <c r="CR65" s="9" t="e">
        <f t="shared" si="215"/>
        <v>#N/A</v>
      </c>
      <c r="CS65" s="9">
        <f t="shared" ref="CS65" si="221">IF(M65=0,0,ROUNDUP(SQRT(AA65*(M65/10-6)*(M65/10-3))/(X65*X65),2))</f>
        <v>0</v>
      </c>
      <c r="CT65" s="58"/>
      <c r="CU65" s="78"/>
      <c r="CV65" s="78">
        <f>ROUNDUP(IF(VALUE(RIGHT($G$3,4))=1,$I$3*30*F66*100,$I$3*20*F66*100),0)</f>
        <v>0</v>
      </c>
      <c r="CW65" s="78"/>
      <c r="CX65" s="78" t="e">
        <f>ROUNDUP((準備!$F$60/100+準備!$C$48/100)*($G64+$H64)/2,2)</f>
        <v>#N/A</v>
      </c>
      <c r="CY65" s="78" t="e">
        <f>ROUNDUP((準備!$F$60/100+準備!$E$48/100)*($G64+$H64)/2,2)</f>
        <v>#N/A</v>
      </c>
      <c r="CZ65" s="78">
        <f>IF(K65=0,0,ROUNDUP(($CX65*POWER($I64*100,2)/8+FJ65)/$DF65,1))</f>
        <v>0</v>
      </c>
      <c r="DA65" s="63" t="e">
        <f>ROUNDUP(5*$CY65*POWER($I64*100,4)/(384*VLOOKUP(VALUE(RIGHT($J64,4)),許容応力!$L$6:$U$22,10)*100*$DG65),2)+FQ65</f>
        <v>#N/A</v>
      </c>
      <c r="DB65" s="78" t="e">
        <f>ROUND((CX65*I64*100/2)/Z64,1)</f>
        <v>#N/A</v>
      </c>
      <c r="DC65" s="78" t="e">
        <f>ROUNDUP(($CY65*POWER($I64*100,2)/8+FJ65)/$DF65,1)</f>
        <v>#N/A</v>
      </c>
      <c r="DD65" s="63" t="e">
        <f>ROUNDUP(5*$CY65*POWER($I64*100,4)/(384*VLOOKUP(VALUE(RIGHT($J64,4)),許容応力!$L$6:$U$22,10)*100*$DG65),2)+FQ65</f>
        <v>#N/A</v>
      </c>
      <c r="DE65" s="78" t="e">
        <f>ROUND((CY65*I64*100/2)/Z64,1)</f>
        <v>#N/A</v>
      </c>
      <c r="DF65" s="63">
        <f>IF(M65&lt;180,ROUND((M65/10-3)*POWER(M65/10-3,2)/6*IF(AB65=0,1,AB65),0),ROUND((M65/10-5)*POWER(M65/10-3,2)/6*IF($AB65=0,1,$AB65),0))</f>
        <v>-5</v>
      </c>
      <c r="DG65" s="63">
        <f>ROUND(IF(M65&lt;180,(M65/10-3)*POWER((M65/10-3),3)/12*IF(AB65=0,1,AB65),(M65/10-4))*POWER((M65/10-3),3)/12*IF(AB65=0,1,AB65),0)</f>
        <v>-15</v>
      </c>
      <c r="DH65" s="10" t="e">
        <f>IF($DN$6=2,ROUND(VLOOKUP(DQ65,許容応力!$L$6:$U$22,7)*1.1/3*100,0),ROUND(VLOOKUP(DQ65,許容応力!$L$6:$U$22,7)*1.1/3*1.3*100,0))</f>
        <v>#VALUE!</v>
      </c>
      <c r="DI65" s="63" t="e">
        <f>ROUND(VLOOKUP(DQ65,許容応力!$L$6:$U$22,7)*100*2/3*0.8,0)</f>
        <v>#VALUE!</v>
      </c>
      <c r="DJ65" s="10" t="e">
        <f>IF($DN$6=2,ROUND(VLOOKUP(DQ65,許容応力!$L$6:$U$22,8)*1.1/3*100,0),ROUND(VLOOKUP(DQ65,許容応力!$L$6:$U$22,8)*1.1/3*1.3*100,0))</f>
        <v>#VALUE!</v>
      </c>
      <c r="DK65" s="63" t="e">
        <f>ROUND(VLOOKUP(DQ65,許容応力!$L$6:$U$22,8)*100*2/3*0.8,0)</f>
        <v>#VALUE!</v>
      </c>
      <c r="DL65" s="10" t="e">
        <f>IF($DN$6=2,ROUND(VLOOKUP(DQ65,許容応力!$L$6:$U$22,9)*1.1/3*100,0),ROUND(VLOOKUP(DQ65,許容応力!$L$6:$U$22,9)*1.1/3*1.3*100,0))</f>
        <v>#VALUE!</v>
      </c>
      <c r="DM65" s="63" t="e">
        <f>ROUND(VLOOKUP(DQ65,許容応力!$L$6:$U$22,9)*100*2/3*0.8,0)</f>
        <v>#VALUE!</v>
      </c>
      <c r="DN65" s="63">
        <v>600</v>
      </c>
      <c r="DO65" s="78">
        <f>ROUND(I64*100/DN65,2)</f>
        <v>0</v>
      </c>
      <c r="DP65" s="78"/>
      <c r="DQ65" s="78" t="e">
        <f>+VALUE(RIGHT(J64,3))</f>
        <v>#VALUE!</v>
      </c>
      <c r="DR65" s="92" t="e">
        <f>ROUND(ATAN(D66/10)*180/PI(),4)</f>
        <v>#VALUE!</v>
      </c>
      <c r="DS65" s="80" t="e">
        <f t="shared" si="217"/>
        <v>#VALUE!</v>
      </c>
      <c r="DT65" s="78">
        <f>VLOOKUP(VALUE(RIGHT(C64,4)),$C$632:$F$641,4)</f>
        <v>225</v>
      </c>
      <c r="DU65" s="78">
        <f>ROUND(I64*100/DT65,2)</f>
        <v>0</v>
      </c>
      <c r="DV65" s="78"/>
      <c r="DW65" s="78" t="e">
        <f>ROUNDUP((準備!$F$60/100+準備!$E$48/100)*($G64+$H64)/2,2)</f>
        <v>#N/A</v>
      </c>
      <c r="DX65" s="78" t="e">
        <f>ROUNDUP((準備!$F$60/100+準備!$E$48/100)*($G64+$H64)/2,2)</f>
        <v>#N/A</v>
      </c>
      <c r="DY65" s="71">
        <f>IF(I64&lt;6,POWER(M65/10,2)*I64/10000,POWER((M65/10+(ROUNDDOWN(I64,0)-4)/2),2)*I64/10000)</f>
        <v>0</v>
      </c>
      <c r="DZ65" s="78">
        <v>200</v>
      </c>
      <c r="EA65" s="93">
        <f>ROUND(DY65*DZ65/100,0)</f>
        <v>0</v>
      </c>
      <c r="EB65" s="78" t="e">
        <f>ROUND((CX65*I64*100/2+EA65)/AM65,1)</f>
        <v>#N/A</v>
      </c>
      <c r="EC65" s="78" t="e">
        <f t="shared" si="218"/>
        <v>#N/A</v>
      </c>
      <c r="ED65" s="78" t="e">
        <f>ROUND((CY65*I64*100/2+EA65)/AM65,1)</f>
        <v>#N/A</v>
      </c>
      <c r="EE65" s="78" t="e">
        <f t="shared" si="219"/>
        <v>#N/A</v>
      </c>
      <c r="EF65" s="78"/>
      <c r="EG65" s="78" t="e">
        <f>+VALUE(RIGHT(H66,4))</f>
        <v>#VALUE!</v>
      </c>
      <c r="EH65" s="78"/>
      <c r="EI65" s="78" t="str">
        <f>IF(M65=0,"",ROUND(CX65*I64*100/2/DJ65,2))</f>
        <v/>
      </c>
      <c r="EJ65" s="78" t="str">
        <f>IF(M65=0,"",ROUND(CY65*I64*100/2/DK65,2))</f>
        <v/>
      </c>
      <c r="EK65" s="78"/>
      <c r="EL65" s="63" t="e">
        <f>IF(AB65=0.8,VLOOKUP(ER65,$CR$395:$CS$439,2),IF(AB65=0.9,VLOOKUP(ER65,$CR$348:$CS$394,2),VLOOKUP(ER65,$CR$301:$CS$344,2)))</f>
        <v>#N/A</v>
      </c>
      <c r="EM65" s="63" t="e">
        <f>IF(AB65=0.8,VLOOKUP(ES65,$CT$395:$CU$439,2),IF(AB65=0.9,VLOOKUP(ES65,$CT$348:$CU$394,2),VLOOKUP(ES65,$CT$301:$CU$344,2)))</f>
        <v>#N/A</v>
      </c>
      <c r="EO65" s="63" t="e">
        <f>IF(AB65=0.8,VLOOKUP(EU65,$CR$395:$CS$439,2),IF(AB65=0.9,VLOOKUP(EU65,$CR$348:$CS$394,2),VLOOKUP(EU65,$CR$301:$CS$344,2)))</f>
        <v>#N/A</v>
      </c>
      <c r="EP65" s="63" t="e">
        <f>IF(AB65=0.8,VLOOKUP(EV65,$CT$395:$CU$439,2),IF(AB65=0.9,VLOOKUP(EV65,$CT$348:$CU$394,2),VLOOKUP(EV65,$CT$301:$CU$344,2)))</f>
        <v>#N/A</v>
      </c>
      <c r="EQ65" s="155" t="e">
        <f t="shared" si="220"/>
        <v>#N/A</v>
      </c>
      <c r="ER65" s="78" t="e">
        <f>ROUNDUP(($CX65*POWER($I64*100,2)/8+FJ65)/$DH65,1)</f>
        <v>#N/A</v>
      </c>
      <c r="ES65" s="78" t="e">
        <f>ROUNDUP(5*$DW65*POWER($I64*100,4)/(384*VLOOKUP(VALUE(RIGHT($J64,4)),許容応力!$B$6:$K$22,10)*100*$DO65),2)+GB65</f>
        <v>#N/A</v>
      </c>
      <c r="ET65" s="78"/>
      <c r="EU65" s="78" t="e">
        <f>ROUNDUP(($CY65*POWER($I64*100,2)/8+FJ65)/$DI65,1)</f>
        <v>#N/A</v>
      </c>
      <c r="EV65" s="78" t="e">
        <f>ROUNDUP(5*$CY65*POWER($I64*100,4)/(384*VLOOKUP(VALUE(RIGHT($J64,4)),許容応力!$B$6:$K$22,10)*100*$DU65),2)+GE65</f>
        <v>#N/A</v>
      </c>
      <c r="EW65" s="78"/>
      <c r="EX65" s="78"/>
      <c r="EY65" s="78"/>
      <c r="EZ65" s="78"/>
      <c r="FA65" s="78"/>
      <c r="FB65" s="3">
        <v>1</v>
      </c>
      <c r="FC65" s="3">
        <v>2</v>
      </c>
      <c r="FD65" s="3">
        <v>3</v>
      </c>
      <c r="FE65" s="3">
        <v>4</v>
      </c>
      <c r="FF65" s="3">
        <v>5</v>
      </c>
      <c r="FG65" s="3">
        <v>6</v>
      </c>
      <c r="FI65" s="3" t="s">
        <v>1019</v>
      </c>
      <c r="FJ65" s="63">
        <f>IF(F66=0,0,ROUND(EH64*POWER(I64*100,2)/8,2))</f>
        <v>0</v>
      </c>
      <c r="FK65" s="3">
        <f>IF(F66=0,0,ROUND(5*EH64*POWER(I64*100,4)/(384*FL65),2))</f>
        <v>0</v>
      </c>
      <c r="FL65" s="642">
        <f>IF(F66=0,0,+VLOOKUP(VALUE(RIGHT(J64,4)),許容応力!$B$6:$K$22,10)*100)</f>
        <v>0</v>
      </c>
      <c r="FM65" s="3">
        <f>IF(F66=0,0,ROUND((FJ65)/DF64,1))</f>
        <v>0</v>
      </c>
      <c r="FN65" s="3">
        <f>IF(F66=0,0,ROUND(FK65/DG64,2))</f>
        <v>0</v>
      </c>
      <c r="FO65" s="3">
        <f>IF(F66=0,0,ROUND(FJ66/Z64,1))</f>
        <v>0</v>
      </c>
      <c r="FP65" s="3">
        <f>+FM65</f>
        <v>0</v>
      </c>
      <c r="FQ65" s="3">
        <f>+FN65</f>
        <v>0</v>
      </c>
      <c r="FR65" s="3">
        <f>+FO65</f>
        <v>0</v>
      </c>
      <c r="FS65" s="3">
        <f>IF(F66=0,0,ROUND(VLOOKUP(VALUE(RIGHT(J64,4)),許容応力!$B$6:$K$22,9)*1.1/3*100,0))</f>
        <v>0</v>
      </c>
      <c r="FT65" s="3">
        <f>IF(F66=0,0,ROUND(VLOOKUP(VALUE(RIGHT($J64,4)),許容応力!$B$6:$K$22,9)*2/3*0.8*100,0))</f>
        <v>0</v>
      </c>
      <c r="FU65" s="3">
        <f>IF(F66=0,0,ROUND(FM65/CZ64,2))</f>
        <v>0</v>
      </c>
      <c r="FV65" s="3">
        <f>IF(F66=0,0,ROUND(FN65/DA64,2))</f>
        <v>0</v>
      </c>
      <c r="FW65" s="3">
        <f>IF(F66=0,0,ROUND(FO65/DB64,2))</f>
        <v>0</v>
      </c>
      <c r="FX65" s="3">
        <f>IF(F66=0,0,ROUND(FP65/DC64,2))</f>
        <v>0</v>
      </c>
      <c r="FY65" s="3">
        <f>IF(F66=0,0,ROUND(FQ65/DD64,2))</f>
        <v>0</v>
      </c>
      <c r="FZ65" s="3">
        <f>IF(F66=0,0,ROUND(FR65/DE64,2))</f>
        <v>0</v>
      </c>
      <c r="GA65" s="87">
        <f>IF(F66=0,0,ROUNDUP(EH64*POWER(I64*100,2)/8/DH64,1))</f>
        <v>0</v>
      </c>
      <c r="GB65" s="87">
        <f>IF(F66=0,0,ROUNDUP(5*EH64*POWER(I64*100,4)/(384*VLOOKUP(VALUE(RIGHT($J64,4)),許容応力!$B$6:$K$22,10)*100*$DO64),2))</f>
        <v>0</v>
      </c>
      <c r="GC65" s="87"/>
      <c r="GD65" s="87">
        <f>+GA65</f>
        <v>0</v>
      </c>
      <c r="GE65" s="87">
        <f>+GB65</f>
        <v>0</v>
      </c>
    </row>
    <row r="66" spans="2:187" ht="15.95" customHeight="1" thickBot="1" x14ac:dyDescent="0.2">
      <c r="B66" s="1650"/>
      <c r="C66" s="1258"/>
      <c r="D66" s="1580" t="s">
        <v>1248</v>
      </c>
      <c r="E66" s="1581"/>
      <c r="F66" s="1126"/>
      <c r="G66" s="280" t="s">
        <v>1250</v>
      </c>
      <c r="H66" s="1127"/>
      <c r="I66" s="841" t="s">
        <v>1004</v>
      </c>
      <c r="J66" s="1114"/>
      <c r="K66" s="842"/>
      <c r="L66" s="843"/>
      <c r="M66" s="841"/>
      <c r="N66" s="843"/>
      <c r="O66" s="915"/>
      <c r="P66" s="845"/>
      <c r="Q66" s="881"/>
      <c r="R66" s="881"/>
      <c r="S66" s="880"/>
      <c r="T66" s="881"/>
      <c r="U66" s="881"/>
      <c r="V66" s="843"/>
      <c r="W66" s="845"/>
      <c r="X66" s="855"/>
      <c r="Y66" s="847"/>
      <c r="Z66" s="874"/>
      <c r="AA66" s="845"/>
      <c r="AB66" s="1149"/>
      <c r="AC66" s="848"/>
      <c r="AD66" s="848"/>
      <c r="AE66" s="845"/>
      <c r="AF66" s="848"/>
      <c r="AG66" s="848"/>
      <c r="AH66" s="849"/>
      <c r="AI66" s="856"/>
      <c r="AJ66" s="857"/>
      <c r="AK66" s="858"/>
      <c r="AL66" s="859"/>
      <c r="AM66" s="847"/>
      <c r="AN66" s="847"/>
      <c r="AO66" s="854"/>
      <c r="AP66" s="184"/>
      <c r="AQ66" s="185"/>
      <c r="AR66" s="23"/>
      <c r="AS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916"/>
      <c r="CO66" s="548"/>
      <c r="CP66" s="9"/>
      <c r="CQ66" s="9"/>
      <c r="CR66" s="9"/>
      <c r="CS66" s="9"/>
      <c r="CT66" s="58"/>
      <c r="CU66" s="78"/>
      <c r="CV66" s="78"/>
      <c r="CW66" s="78"/>
      <c r="CX66" s="78"/>
      <c r="CY66" s="78"/>
      <c r="CZ66" s="78"/>
      <c r="DA66" s="63"/>
      <c r="DB66" s="78"/>
      <c r="DC66" s="78"/>
      <c r="DD66" s="63"/>
      <c r="DE66" s="78"/>
      <c r="DF66" s="63"/>
      <c r="DG66" s="63"/>
      <c r="DH66" s="10"/>
      <c r="DI66" s="63"/>
      <c r="DJ66" s="10"/>
      <c r="DK66" s="63"/>
      <c r="DL66" s="10"/>
      <c r="DM66" s="63"/>
      <c r="DN66" s="63"/>
      <c r="DO66" s="78"/>
      <c r="DP66" s="78"/>
      <c r="DQ66" s="78"/>
      <c r="DR66" s="92"/>
      <c r="DS66" s="80"/>
      <c r="DT66" s="78"/>
      <c r="DU66" s="78"/>
      <c r="DV66" s="78"/>
      <c r="DW66" s="78"/>
      <c r="DX66" s="78"/>
      <c r="DY66" s="71"/>
      <c r="DZ66" s="78"/>
      <c r="EA66" s="93"/>
      <c r="EB66" s="78"/>
      <c r="EC66" s="78"/>
      <c r="ED66" s="78"/>
      <c r="EE66" s="78"/>
      <c r="EF66" s="78"/>
      <c r="EG66" s="78"/>
      <c r="EH66" s="78"/>
      <c r="EI66" s="78"/>
      <c r="EJ66" s="78"/>
      <c r="EK66" s="78"/>
      <c r="EL66" s="63"/>
      <c r="EM66" s="63"/>
      <c r="EO66" s="63"/>
      <c r="EP66" s="63"/>
      <c r="EQ66" s="155"/>
      <c r="ER66" s="78"/>
      <c r="ES66" s="78"/>
      <c r="ET66" s="78"/>
      <c r="EU66" s="78"/>
      <c r="EV66" s="78"/>
      <c r="EW66" s="78"/>
      <c r="EX66" s="78"/>
      <c r="EY66" s="78"/>
      <c r="EZ66" s="78"/>
      <c r="FA66" s="78"/>
      <c r="FB66" s="128">
        <f>+準備!$G$20/100*J66</f>
        <v>0</v>
      </c>
      <c r="FC66" s="128">
        <f>+準備!$G$24/100*J66</f>
        <v>0</v>
      </c>
      <c r="FD66" s="128">
        <f>+準備!$G$28/100*J66</f>
        <v>0</v>
      </c>
      <c r="FE66" s="128">
        <f>+準備!$G$32/100*J66</f>
        <v>0</v>
      </c>
      <c r="FF66" s="128">
        <f>+準備!$G$36/100*J66</f>
        <v>0</v>
      </c>
      <c r="FG66" s="128">
        <f>+準備!$G$38/100*J66</f>
        <v>0</v>
      </c>
      <c r="FI66" s="3" t="s">
        <v>1018</v>
      </c>
      <c r="FJ66" s="63">
        <f>IF(F66=0,0,ROUND(EH64*I64*100/2,2))</f>
        <v>0</v>
      </c>
      <c r="FK66" s="63"/>
      <c r="FM66" s="3">
        <f t="shared" ref="FM66:FR66" si="222">+FM65</f>
        <v>0</v>
      </c>
      <c r="FN66" s="3">
        <f t="shared" si="222"/>
        <v>0</v>
      </c>
      <c r="FO66" s="3">
        <f t="shared" si="222"/>
        <v>0</v>
      </c>
      <c r="FP66" s="3">
        <f t="shared" si="222"/>
        <v>0</v>
      </c>
      <c r="FQ66" s="3">
        <f t="shared" si="222"/>
        <v>0</v>
      </c>
      <c r="FR66" s="3">
        <f t="shared" si="222"/>
        <v>0</v>
      </c>
      <c r="FS66" s="3">
        <f>IF(F66=0,0,ROUND(EH64*I64*100/2/FS65/AM64,2))</f>
        <v>0</v>
      </c>
      <c r="FT66" s="3">
        <f>IF(F66=0,0,ROUND(EH64*I64*100/2/FT65/AM64,2))</f>
        <v>0</v>
      </c>
      <c r="FU66" s="3">
        <f t="shared" ref="FU66:FZ66" si="223">+FU65</f>
        <v>0</v>
      </c>
      <c r="FV66" s="3">
        <f t="shared" si="223"/>
        <v>0</v>
      </c>
      <c r="FW66" s="3">
        <f t="shared" si="223"/>
        <v>0</v>
      </c>
      <c r="FX66" s="3">
        <f t="shared" si="223"/>
        <v>0</v>
      </c>
      <c r="FY66" s="3">
        <f t="shared" si="223"/>
        <v>0</v>
      </c>
      <c r="FZ66" s="3">
        <f t="shared" si="223"/>
        <v>0</v>
      </c>
    </row>
    <row r="67" spans="2:187" ht="15.95" customHeight="1" x14ac:dyDescent="0.15">
      <c r="B67" s="1650"/>
      <c r="C67" s="1640" t="s">
        <v>1288</v>
      </c>
      <c r="D67" s="331"/>
      <c r="E67" s="1576"/>
      <c r="F67" s="1577"/>
      <c r="G67" s="1563"/>
      <c r="H67" s="1563"/>
      <c r="I67" s="1563"/>
      <c r="J67" s="1565"/>
      <c r="K67" s="1117"/>
      <c r="L67" s="196">
        <f>+IF(K67=0,0,"×")</f>
        <v>0</v>
      </c>
      <c r="M67" s="241">
        <f>IF(K67=0,0,+EQ67)</f>
        <v>0</v>
      </c>
      <c r="N67" s="242" t="str">
        <f t="shared" ref="N67:N68" si="224">IF(AC67=+"","",IF(AND(AC67&lt;=1,AD67&lt;=1,AF67&lt;=1,AG67&lt;=1),"OK!","NO!"))</f>
        <v/>
      </c>
      <c r="O67" s="1520">
        <f>IF(Z67=0,0,IF(AND(U67=0,X67=0),0,IF(IF(AE67&gt;=AH67,AE67,AH67)&lt;=1,"OK!","NO!")))</f>
        <v>0</v>
      </c>
      <c r="P67" s="1476"/>
      <c r="Q67" s="1488"/>
      <c r="R67" s="1488"/>
      <c r="S67" s="1616">
        <f t="shared" ref="S67" si="225">+IF(R67=0,0,6)</f>
        <v>0</v>
      </c>
      <c r="T67" s="1488"/>
      <c r="U67" s="1488"/>
      <c r="V67" s="196" t="str">
        <f>+AH$185</f>
        <v/>
      </c>
      <c r="W67" s="1577">
        <f>IF(U67=0,0,+VLOOKUP(V67,$I$204:$J$209,2))</f>
        <v>0</v>
      </c>
      <c r="X67" s="1486"/>
      <c r="Y67" s="1468">
        <f>IF(X67=0,0,+CS67)</f>
        <v>0</v>
      </c>
      <c r="Z67" s="1313">
        <f>IF(AND(R67=0,X67=0),0,+IF(AND(VALUE(RIGHT(P67,4))=2,R67&gt;0),0,IF(AND(VALUE(RIGHT(P67,4))=1,X67&gt;0),0,CM67)))</f>
        <v>0</v>
      </c>
      <c r="AA67" s="1466">
        <f>IF(X67=0,0,IF(EI67&gt;=EJ67,EI67,EJ67))</f>
        <v>0</v>
      </c>
      <c r="AB67" s="1121"/>
      <c r="AC67" s="201" t="str">
        <f t="shared" ref="AC67:AC68" si="226">IF(M67=0,"",ROUNDUP(CZ67/DH67,2))</f>
        <v/>
      </c>
      <c r="AD67" s="201" t="str">
        <f t="shared" ref="AD67:AD68" si="227">IF(M67=0,"",ROUND(DA67/DO67,2))</f>
        <v/>
      </c>
      <c r="AE67" s="1466">
        <f>IF(G67=+"",0,IF(AND(U67=0,X67=0),0,IF(X67=0,ROUND(DB67/(DJ67*$CP$4*W67),2),ROUND(DB67/DJ67,2))))</f>
        <v>0</v>
      </c>
      <c r="AF67" s="201" t="str">
        <f t="shared" ref="AF67:AF68" si="228">IF(M67=0,"",ROUNDUP(DC67/DI67,2))</f>
        <v/>
      </c>
      <c r="AG67" s="201" t="str">
        <f t="shared" ref="AG67:AG68" si="229">IF(M67=0,"",ROUNDUP(DD67/DU67,2))</f>
        <v/>
      </c>
      <c r="AH67" s="1466">
        <f>IF(G67=+"",0,IF(AND(U67=0,X67=0),0,IF(X67=0,ROUND(DE67/(DK67*$CP$4*W67),2),ROUND(DE67/DK67,2))))</f>
        <v>0</v>
      </c>
      <c r="AI67" s="818"/>
      <c r="AJ67" s="811"/>
      <c r="AK67" s="823"/>
      <c r="AL67" s="812"/>
      <c r="AM67" s="1631">
        <f>IF(AI67=0,0,ROUND(AI67*AJ67+AK67*AL67+AI68*AJ68+AK68*AL68,2))</f>
        <v>0</v>
      </c>
      <c r="AN67" s="1631">
        <f t="shared" ref="AN67" si="230">IF(AJ67=0,0,IF(CO67=1,CN67/($CP$4*W67),CN67))</f>
        <v>0</v>
      </c>
      <c r="AO67" s="1635" t="str">
        <f t="shared" ref="AO67" si="231">IF(AN67=0,"",IF(AN67&lt;=1,"OK!","NO!"))</f>
        <v/>
      </c>
      <c r="AP67" s="186">
        <f>+IF(I67=0,0,"1/")</f>
        <v>0</v>
      </c>
      <c r="AQ67" s="187">
        <f>IF(I67=0,0,+DN67)</f>
        <v>0</v>
      </c>
      <c r="AR67" s="23"/>
      <c r="AS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1313">
        <f>IF(AND(U67=0,X67=0),0,IF(U67&gt;0,AH$196/100*$CP$4*W67,ROUND(POWER(X67*Y67,2)/(K67/10*M67/10),2)))</f>
        <v>0</v>
      </c>
      <c r="CN67" s="1304" t="str">
        <f>IF($AJ67=0,"",IF($EC67&gt;=$EE67,$EC67+FN68,$EE67+FN68))</f>
        <v/>
      </c>
      <c r="CO67" s="552">
        <f>IF(P67=0,0,+VALUE(RIGHT(P67,4)))</f>
        <v>0</v>
      </c>
      <c r="CP67" s="91" t="e">
        <f>ROUNDUP(CX67*I67*100/2/DL67,2)</f>
        <v>#N/A</v>
      </c>
      <c r="CQ67" s="91" t="e">
        <f>ROUNDUP(CY67*I67*100/2/DM67,2)</f>
        <v>#N/A</v>
      </c>
      <c r="CR67" s="91" t="e">
        <f t="shared" ref="CR67:CR68" si="232">IF(CP67&gt;=CQ67,CP67,CQ67)</f>
        <v>#N/A</v>
      </c>
      <c r="CS67" s="9">
        <f t="shared" ref="CS67" si="233">IF(M67=0,0,ROUNDUP(SQRT((AA67*K67/10*M67/10)/(X67*X67)),2))</f>
        <v>0</v>
      </c>
      <c r="CT67" s="94"/>
      <c r="CU67" s="95"/>
      <c r="CV67" s="87">
        <f>ROUNDUP(IF(VALUE(RIGHT($G$3,4))=1,$I$3*30*F69*100,$I$3*20*F69*100),0)</f>
        <v>0</v>
      </c>
      <c r="CW67" s="87"/>
      <c r="CX67" s="87" t="e">
        <f>ROUNDUP((準備!$F$60/100+準備!$C$48/100)*($G67+$H67)/2,2)</f>
        <v>#N/A</v>
      </c>
      <c r="CY67" s="87" t="e">
        <f>ROUNDUP((準備!$F$60/100+準備!$E$48/100)*($G67+$H67)/2,2)</f>
        <v>#N/A</v>
      </c>
      <c r="CZ67" s="87" t="e">
        <f>ROUNDUP(($CX67*POWER($I67*100,2)/8+FJ68)/$DF67,1)</f>
        <v>#N/A</v>
      </c>
      <c r="DA67" s="87" t="e">
        <f>ROUNDUP(5*$DW67*POWER($I67*100,4)/(384*VLOOKUP(VALUE(RIGHT($J67,4)),許容応力!$B$6:$K$22,10)*100*$DG67),2)+FN68</f>
        <v>#N/A</v>
      </c>
      <c r="DB67" s="87" t="e">
        <f>ROUND((CX67*I67*100/2)/Z67,1)</f>
        <v>#N/A</v>
      </c>
      <c r="DC67" s="87" t="e">
        <f>ROUNDUP(($CY67*POWER($I67*100,2)/8+FJ68)/$DF67,1)</f>
        <v>#N/A</v>
      </c>
      <c r="DD67" s="87" t="e">
        <f>ROUNDUP(5*$CY67*POWER($I67*100,4)/(384*VLOOKUP(VALUE(RIGHT($J67,4)),許容応力!$B$6:$K$22,10)*100*$DG67),2)+FQ68</f>
        <v>#N/A</v>
      </c>
      <c r="DE67" s="87" t="e">
        <f>ROUND((CY67*I67*100/2)/Z67,1)</f>
        <v>#N/A</v>
      </c>
      <c r="DF67" s="87">
        <f>ROUNDDOWN($K67/10*POWER($M67/10,2)/6*IF(OR($AB67=0,$AB67=1),1,$AB67),0)</f>
        <v>0</v>
      </c>
      <c r="DG67" s="87">
        <f>ROUNDDOWN($K67/10*POWER($M67/10,3)/12*IF(OR($AB67=0,$AB67=1),1,$AB67),0)</f>
        <v>0</v>
      </c>
      <c r="DH67" s="88" t="e">
        <f>VLOOKUP(DQ67,許容応力!$B$6:$K$22,7)*1.1/3*100</f>
        <v>#VALUE!</v>
      </c>
      <c r="DI67" s="87" t="e">
        <f>ROUND(VLOOKUP(DQ67,許容応力!$B$6:$K$22,7)*100*2/3*0.8,0)</f>
        <v>#VALUE!</v>
      </c>
      <c r="DJ67" s="10" t="e">
        <f>IF($DN$6=2,ROUND(VLOOKUP(DQ67,許容応力!$B$6:$K$22,8)*1.1/3*100,0),ROUND(VLOOKUP(DQ67,許容応力!$B$6:$K$22,8)*1.1/3*1.3*100,0))</f>
        <v>#VALUE!</v>
      </c>
      <c r="DK67" s="87" t="e">
        <f>ROUND(VLOOKUP(DQ67,許容応力!$B$6:$K$22,8)*100*2/3*0.8,0)</f>
        <v>#VALUE!</v>
      </c>
      <c r="DL67" s="10" t="e">
        <f>IF($DN$6=2,ROUND(VLOOKUP(DQ67,許容応力!$B$6:$K$22,9)*1.1/3*100,0),ROUND(VLOOKUP(DQ67,許容応力!$B$6:$K$22,9)*1.1/3*1.3*100,0))</f>
        <v>#VALUE!</v>
      </c>
      <c r="DM67" s="87" t="e">
        <f>ROUND(VLOOKUP(DQ67,許容応力!$B$6:$K$22,9)*100*2/3*0.8,0)</f>
        <v>#VALUE!</v>
      </c>
      <c r="DN67" s="63">
        <v>600</v>
      </c>
      <c r="DO67" s="87">
        <f>ROUND(I67*100/DN67,2)</f>
        <v>0</v>
      </c>
      <c r="DP67" s="87"/>
      <c r="DQ67" s="87" t="e">
        <f>+VALUE(RIGHT(J67,3))</f>
        <v>#VALUE!</v>
      </c>
      <c r="DR67" s="89" t="e">
        <f>ROUND(ATAN(D69/10)*180/PI(),4)</f>
        <v>#VALUE!</v>
      </c>
      <c r="DS67" s="90" t="e">
        <f t="shared" ref="DS67:DS68" si="234">ROUND(COS(DR67*PI()/180),3)</f>
        <v>#VALUE!</v>
      </c>
      <c r="DT67" s="87">
        <f>VLOOKUP(VALUE(RIGHT(C67,4)),$C$632:$F$641,4)</f>
        <v>225</v>
      </c>
      <c r="DU67" s="87">
        <f>ROUND(I67*100/DT67,2)</f>
        <v>0</v>
      </c>
      <c r="DV67" s="87"/>
      <c r="DW67" s="87" t="e">
        <f>ROUNDUP((準備!$F$60/100+準備!$E$48/100)*($G67+$H67)/2,2)</f>
        <v>#N/A</v>
      </c>
      <c r="DX67" s="87" t="e">
        <f>ROUNDUP((準備!$F$60/100+準備!$E$48/100)*($G67+$H67)/2,2)</f>
        <v>#N/A</v>
      </c>
      <c r="DY67" s="87"/>
      <c r="DZ67" s="87"/>
      <c r="EA67" s="87"/>
      <c r="EB67" s="87" t="e">
        <f>ROUND(CX67*I67*100/2/AM67,1)</f>
        <v>#N/A</v>
      </c>
      <c r="EC67" s="87" t="e">
        <f t="shared" ref="EC67:EC68" si="235">ROUND(EB67/DL67,2)</f>
        <v>#N/A</v>
      </c>
      <c r="ED67" s="87" t="e">
        <f>ROUND(CY67*I67*100/2/AM67,1)</f>
        <v>#N/A</v>
      </c>
      <c r="EE67" s="87" t="e">
        <f t="shared" ref="EE67:EE68" si="236">ROUND(ED67/DM67,2)</f>
        <v>#N/A</v>
      </c>
      <c r="EF67" s="87"/>
      <c r="EG67" s="87">
        <f>IF(F69=0,0,+VALUE(RIGHT(F69,4)))</f>
        <v>0</v>
      </c>
      <c r="EH67" s="3">
        <f>+IF(EG67=1,HLOOKUP(EG68,FB68:FG69,2),0)</f>
        <v>0</v>
      </c>
      <c r="EI67" s="87" t="str">
        <f>IF(M67=0,"",ROUND(CX67*I67*100/2/DJ67,2))</f>
        <v/>
      </c>
      <c r="EJ67" s="87" t="str">
        <f>IF(M67=0,"",ROUND(CY67*I67*100/2/DK67,2))</f>
        <v/>
      </c>
      <c r="EK67" s="87"/>
      <c r="EL67" s="63" t="e">
        <f>ROUNDUP(ER67/3,-1)*3</f>
        <v>#N/A</v>
      </c>
      <c r="EM67" s="63" t="e">
        <f>ROUNDUP(ES67/3,-1)*3</f>
        <v>#N/A</v>
      </c>
      <c r="EO67" s="63" t="e">
        <f>ROUNDUP(EU67/3,-1)*3</f>
        <v>#N/A</v>
      </c>
      <c r="EP67" s="63" t="e">
        <f>ROUNDUP(EV67/3,-1)*3</f>
        <v>#N/A</v>
      </c>
      <c r="EQ67" s="155" t="e">
        <f t="shared" ref="EQ67:EQ68" si="237">+MAX(EL67:EP67)</f>
        <v>#N/A</v>
      </c>
      <c r="ER67" s="87" t="e">
        <f>ROUNDUP(SQRT(EW67/($K67/10)*6/IF(OR($AB67=0,$AB67=1),1,$AB67)),0)*10</f>
        <v>#N/A</v>
      </c>
      <c r="ES67" s="87" t="e">
        <f>POWER(ROUNDUP(EX67/($K67/10)*12/IF(OR($AB67=0,$AB67=1),1,$AB67),0),1/3)*10</f>
        <v>#N/A</v>
      </c>
      <c r="EU67" s="87" t="e">
        <f>ROUNDUP(SQRT(EZ67/($K67/10)*6/IF(OR($AB67=0,$AB67=1),1,$AB67))*10,0)</f>
        <v>#N/A</v>
      </c>
      <c r="EV67" s="87" t="e">
        <f>POWER(ROUNDUP(FA67/($K67/10)*12/IF(OR($AB67=0,$AB67=1),1,$AB67),0),1/3)*10</f>
        <v>#N/A</v>
      </c>
      <c r="EW67" s="87" t="e">
        <f>ROUNDUP(($CX67*POWER($I67*100,2)/8+FJ68)/$DH67,1)</f>
        <v>#N/A</v>
      </c>
      <c r="EX67" s="87" t="e">
        <f>ROUNDUP(5*$DW67*POWER($I67*100,4)/(384*VLOOKUP(VALUE(RIGHT($J67,4)),許容応力!$B$6:$K$22,10)*100*$DO67),2)+GB68</f>
        <v>#N/A</v>
      </c>
      <c r="EY67" s="87"/>
      <c r="EZ67" s="87" t="e">
        <f>ROUNDUP(($CY67*POWER($I67*100,2)/8+FJ68)/$DI67,1)</f>
        <v>#N/A</v>
      </c>
      <c r="FA67" s="87" t="e">
        <f>ROUNDUP(5*$CY67*POWER($I67*100,4)/(384*VLOOKUP(VALUE(RIGHT($J67,4)),許容応力!$B$6:$K$22,10)*100*$DU67),2)+GE68</f>
        <v>#N/A</v>
      </c>
      <c r="FB67" s="410" t="s">
        <v>1005</v>
      </c>
      <c r="FC67" s="3" t="s">
        <v>1007</v>
      </c>
      <c r="FD67" s="3" t="s">
        <v>1008</v>
      </c>
      <c r="FE67" s="3" t="s">
        <v>1009</v>
      </c>
      <c r="FF67" s="3" t="s">
        <v>1010</v>
      </c>
      <c r="FG67" s="410" t="s">
        <v>1006</v>
      </c>
      <c r="FH67" s="410" t="s">
        <v>1016</v>
      </c>
      <c r="FI67" s="3" t="s">
        <v>258</v>
      </c>
      <c r="FK67" s="3" t="s">
        <v>189</v>
      </c>
      <c r="FL67" s="3" t="s">
        <v>18</v>
      </c>
      <c r="FM67" s="412" t="s">
        <v>1013</v>
      </c>
      <c r="FN67" s="349" t="s">
        <v>1014</v>
      </c>
      <c r="FO67" s="412" t="s">
        <v>1015</v>
      </c>
      <c r="FP67" s="412" t="s">
        <v>1013</v>
      </c>
      <c r="FQ67" s="349" t="s">
        <v>1014</v>
      </c>
      <c r="FR67" s="412" t="s">
        <v>1015</v>
      </c>
      <c r="FS67" s="3" t="s">
        <v>1223</v>
      </c>
      <c r="FT67" s="3" t="s">
        <v>1224</v>
      </c>
      <c r="FU67" s="412" t="s">
        <v>1065</v>
      </c>
      <c r="FV67" s="349" t="s">
        <v>1066</v>
      </c>
      <c r="FW67" s="412" t="s">
        <v>1067</v>
      </c>
      <c r="FX67" s="412" t="s">
        <v>1065</v>
      </c>
      <c r="FY67" s="349" t="s">
        <v>1066</v>
      </c>
      <c r="FZ67" s="412" t="s">
        <v>1067</v>
      </c>
    </row>
    <row r="68" spans="2:187" ht="15.95" customHeight="1" x14ac:dyDescent="0.15">
      <c r="B68" s="1650"/>
      <c r="C68" s="1639"/>
      <c r="D68" s="831"/>
      <c r="E68" s="1578"/>
      <c r="F68" s="1578"/>
      <c r="G68" s="1564"/>
      <c r="H68" s="1564"/>
      <c r="I68" s="1564"/>
      <c r="J68" s="1566"/>
      <c r="K68" s="1567">
        <f>+IF(J67=0,0,"丸太末口 φ")</f>
        <v>0</v>
      </c>
      <c r="L68" s="1568"/>
      <c r="M68" s="832">
        <f>IF(J67=0,0,+EQ68)</f>
        <v>0</v>
      </c>
      <c r="N68" s="833" t="str">
        <f t="shared" si="224"/>
        <v/>
      </c>
      <c r="O68" s="1571"/>
      <c r="P68" s="1477"/>
      <c r="Q68" s="1489"/>
      <c r="R68" s="1489"/>
      <c r="S68" s="1576"/>
      <c r="T68" s="1489"/>
      <c r="U68" s="1489"/>
      <c r="V68" s="1022" t="str">
        <f>+AH$184</f>
        <v/>
      </c>
      <c r="W68" s="1578"/>
      <c r="X68" s="1487"/>
      <c r="Y68" s="1469"/>
      <c r="Z68" s="1485"/>
      <c r="AA68" s="1467"/>
      <c r="AB68" s="1124"/>
      <c r="AC68" s="834" t="str">
        <f t="shared" si="226"/>
        <v/>
      </c>
      <c r="AD68" s="834" t="str">
        <f t="shared" si="227"/>
        <v/>
      </c>
      <c r="AE68" s="1467"/>
      <c r="AF68" s="834" t="str">
        <f t="shared" si="228"/>
        <v/>
      </c>
      <c r="AG68" s="834" t="str">
        <f t="shared" si="229"/>
        <v/>
      </c>
      <c r="AH68" s="1474"/>
      <c r="AI68" s="835"/>
      <c r="AJ68" s="836"/>
      <c r="AK68" s="837"/>
      <c r="AL68" s="838"/>
      <c r="AM68" s="1469"/>
      <c r="AN68" s="1632"/>
      <c r="AO68" s="1636"/>
      <c r="AP68" s="839">
        <f>+IF(I67=0,0,"1/")</f>
        <v>0</v>
      </c>
      <c r="AQ68" s="840">
        <f>IF(I67=0,0,+DN68)</f>
        <v>0</v>
      </c>
      <c r="AR68" s="23"/>
      <c r="AS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1312"/>
      <c r="CN68" s="1301"/>
      <c r="CO68" s="548"/>
      <c r="CP68" s="9" t="e">
        <f>ROUNDUP(CX68*I67*100/2/DL68,2)</f>
        <v>#N/A</v>
      </c>
      <c r="CQ68" s="9" t="e">
        <f>ROUNDUP(CY68*I67*100/2/DM68,2)</f>
        <v>#N/A</v>
      </c>
      <c r="CR68" s="9" t="e">
        <f t="shared" si="232"/>
        <v>#N/A</v>
      </c>
      <c r="CS68" s="9">
        <f t="shared" ref="CS68" si="238">IF(M68=0,0,ROUNDUP(SQRT(AA68*(M68/10-6)*(M68/10-3))/(X68*X68),2))</f>
        <v>0</v>
      </c>
      <c r="CT68" s="58"/>
      <c r="CU68" s="78"/>
      <c r="CV68" s="78">
        <f>ROUNDUP(IF(VALUE(RIGHT($G$3,4))=1,$I$3*30*F69*100,$I$3*20*F69*100),0)</f>
        <v>0</v>
      </c>
      <c r="CW68" s="78"/>
      <c r="CX68" s="78" t="e">
        <f>ROUNDUP((準備!$F$60/100+準備!$C$48/100)*($G67+$H67)/2,2)</f>
        <v>#N/A</v>
      </c>
      <c r="CY68" s="78" t="e">
        <f>ROUNDUP((準備!$F$60/100+準備!$E$48/100)*($G67+$H67)/2,2)</f>
        <v>#N/A</v>
      </c>
      <c r="CZ68" s="78">
        <f>IF(K68=0,0,ROUNDUP(($CX68*POWER($I67*100,2)/8+FJ68)/$DF68,1))</f>
        <v>0</v>
      </c>
      <c r="DA68" s="63" t="e">
        <f>ROUNDUP(5*$CY68*POWER($I67*100,4)/(384*VLOOKUP(VALUE(RIGHT($J67,4)),許容応力!$L$6:$U$22,10)*100*$DG68),2)+FQ68</f>
        <v>#N/A</v>
      </c>
      <c r="DB68" s="78" t="e">
        <f>ROUND((CX68*I67*100/2)/Z67,1)</f>
        <v>#N/A</v>
      </c>
      <c r="DC68" s="78" t="e">
        <f>ROUNDUP(($CY68*POWER($I67*100,2)/8+FJ68)/$DF68,1)</f>
        <v>#N/A</v>
      </c>
      <c r="DD68" s="63" t="e">
        <f>ROUNDUP(5*$CY68*POWER($I67*100,4)/(384*VLOOKUP(VALUE(RIGHT($J67,4)),許容応力!$L$6:$U$22,10)*100*$DG68),2)+FQ68</f>
        <v>#N/A</v>
      </c>
      <c r="DE68" s="78" t="e">
        <f>ROUND((CY68*I67*100/2)/Z67,1)</f>
        <v>#N/A</v>
      </c>
      <c r="DF68" s="63">
        <f>IF(M68&lt;180,ROUND((M68/10-3)*POWER(M68/10-3,2)/6*IF(AB68=0,1,AB68),0),ROUND((M68/10-5)*POWER(M68/10-3,2)/6*IF($AB68=0,1,$AB68),0))</f>
        <v>-5</v>
      </c>
      <c r="DG68" s="63">
        <f>ROUND(IF(M68&lt;180,(M68/10-3)*POWER((M68/10-3),3)/12*IF(AB68=0,1,AB68),(M68/10-4))*POWER((M68/10-3),3)/12*IF(AB68=0,1,AB68),0)</f>
        <v>-15</v>
      </c>
      <c r="DH68" s="10" t="e">
        <f>IF($DN$6=2,ROUND(VLOOKUP(DQ68,許容応力!$L$6:$U$22,7)*1.1/3*100,0),ROUND(VLOOKUP(DQ68,許容応力!$L$6:$U$22,7)*1.1/3*1.3*100,0))</f>
        <v>#VALUE!</v>
      </c>
      <c r="DI68" s="63" t="e">
        <f>ROUND(VLOOKUP(DQ68,許容応力!$L$6:$U$22,7)*100*2/3*0.8,0)</f>
        <v>#VALUE!</v>
      </c>
      <c r="DJ68" s="10" t="e">
        <f>IF($DN$6=2,ROUND(VLOOKUP(DQ68,許容応力!$L$6:$U$22,8)*1.1/3*100,0),ROUND(VLOOKUP(DQ68,許容応力!$L$6:$U$22,8)*1.1/3*1.3*100,0))</f>
        <v>#VALUE!</v>
      </c>
      <c r="DK68" s="63" t="e">
        <f>ROUND(VLOOKUP(DQ68,許容応力!$L$6:$U$22,8)*100*2/3*0.8,0)</f>
        <v>#VALUE!</v>
      </c>
      <c r="DL68" s="10" t="e">
        <f>IF($DN$6=2,ROUND(VLOOKUP(DQ68,許容応力!$L$6:$U$22,9)*1.1/3*100,0),ROUND(VLOOKUP(DQ68,許容応力!$L$6:$U$22,9)*1.1/3*1.3*100,0))</f>
        <v>#VALUE!</v>
      </c>
      <c r="DM68" s="63" t="e">
        <f>ROUND(VLOOKUP(DQ68,許容応力!$L$6:$U$22,9)*100*2/3*0.8,0)</f>
        <v>#VALUE!</v>
      </c>
      <c r="DN68" s="63">
        <v>600</v>
      </c>
      <c r="DO68" s="78">
        <f>ROUND(I67*100/DN68,2)</f>
        <v>0</v>
      </c>
      <c r="DP68" s="78"/>
      <c r="DQ68" s="78" t="e">
        <f>+VALUE(RIGHT(J67,3))</f>
        <v>#VALUE!</v>
      </c>
      <c r="DR68" s="92" t="e">
        <f>ROUND(ATAN(D69/10)*180/PI(),4)</f>
        <v>#VALUE!</v>
      </c>
      <c r="DS68" s="80" t="e">
        <f t="shared" si="234"/>
        <v>#VALUE!</v>
      </c>
      <c r="DT68" s="78">
        <f>VLOOKUP(VALUE(RIGHT(C67,4)),$C$632:$F$641,4)</f>
        <v>225</v>
      </c>
      <c r="DU68" s="78">
        <f>ROUND(I67*100/DT68,2)</f>
        <v>0</v>
      </c>
      <c r="DV68" s="78"/>
      <c r="DW68" s="78" t="e">
        <f>ROUNDUP((準備!$F$60/100+準備!$E$48/100)*($G67+$H67)/2,2)</f>
        <v>#N/A</v>
      </c>
      <c r="DX68" s="78" t="e">
        <f>ROUNDUP((準備!$F$60/100+準備!$E$48/100)*($G67+$H67)/2,2)</f>
        <v>#N/A</v>
      </c>
      <c r="DY68" s="71">
        <f>IF(I67&lt;6,POWER(M68/10,2)*I67/10000,POWER((M68/10+(ROUNDDOWN(I67,0)-4)/2),2)*I67/10000)</f>
        <v>0</v>
      </c>
      <c r="DZ68" s="78">
        <v>200</v>
      </c>
      <c r="EA68" s="93">
        <f>ROUND(DY68*DZ68/100,0)</f>
        <v>0</v>
      </c>
      <c r="EB68" s="78" t="e">
        <f>ROUND((CX68*I67*100/2+EA68)/AM68,1)</f>
        <v>#N/A</v>
      </c>
      <c r="EC68" s="78" t="e">
        <f t="shared" si="235"/>
        <v>#N/A</v>
      </c>
      <c r="ED68" s="78" t="e">
        <f>ROUND((CY68*I67*100/2+EA68)/AM68,1)</f>
        <v>#N/A</v>
      </c>
      <c r="EE68" s="78" t="e">
        <f t="shared" si="236"/>
        <v>#N/A</v>
      </c>
      <c r="EF68" s="78"/>
      <c r="EG68" s="78" t="e">
        <f>+VALUE(RIGHT(H69,4))</f>
        <v>#VALUE!</v>
      </c>
      <c r="EH68" s="78"/>
      <c r="EI68" s="78" t="str">
        <f>IF(M68=0,"",ROUND(CX68*I67*100/2/DJ68,2))</f>
        <v/>
      </c>
      <c r="EJ68" s="78" t="str">
        <f>IF(M68=0,"",ROUND(CY68*I67*100/2/DK68,2))</f>
        <v/>
      </c>
      <c r="EK68" s="78"/>
      <c r="EL68" s="63" t="e">
        <f>IF(AB68=0.8,VLOOKUP(ER68,$CR$395:$CS$439,2),IF(AB68=0.9,VLOOKUP(ER68,$CR$348:$CS$394,2),VLOOKUP(ER68,$CR$301:$CS$344,2)))</f>
        <v>#N/A</v>
      </c>
      <c r="EM68" s="63" t="e">
        <f>IF(AB68=0.8,VLOOKUP(ES68,$CT$395:$CU$439,2),IF(AB68=0.9,VLOOKUP(ES68,$CT$348:$CU$394,2),VLOOKUP(ES68,$CT$301:$CU$344,2)))</f>
        <v>#N/A</v>
      </c>
      <c r="EO68" s="63" t="e">
        <f>IF(AB68=0.8,VLOOKUP(EU68,$CR$395:$CS$439,2),IF(AB68=0.9,VLOOKUP(EU68,$CR$348:$CS$394,2),VLOOKUP(EU68,$CR$301:$CS$344,2)))</f>
        <v>#N/A</v>
      </c>
      <c r="EP68" s="63" t="e">
        <f>IF(AB68=0.8,VLOOKUP(EV68,$CT$395:$CU$439,2),IF(AB68=0.9,VLOOKUP(EV68,$CT$348:$CU$394,2),VLOOKUP(EV68,$CT$301:$CU$344,2)))</f>
        <v>#N/A</v>
      </c>
      <c r="EQ68" s="155" t="e">
        <f t="shared" si="237"/>
        <v>#N/A</v>
      </c>
      <c r="ER68" s="78" t="e">
        <f>ROUNDUP(($CX68*POWER($I67*100,2)/8+FJ68)/$DH68,1)</f>
        <v>#N/A</v>
      </c>
      <c r="ES68" s="78" t="e">
        <f>ROUNDUP(5*$DW68*POWER($I67*100,4)/(384*VLOOKUP(VALUE(RIGHT($J67,4)),許容応力!$B$6:$K$22,10)*100*$DO68),2)+GB68</f>
        <v>#N/A</v>
      </c>
      <c r="ET68" s="78"/>
      <c r="EU68" s="78" t="e">
        <f>ROUNDUP(($CY68*POWER($I67*100,2)/8+FJ68)/$DI68,1)</f>
        <v>#N/A</v>
      </c>
      <c r="EV68" s="78" t="e">
        <f>ROUNDUP(5*$CY68*POWER($I67*100,4)/(384*VLOOKUP(VALUE(RIGHT($J67,4)),許容応力!$B$6:$K$22,10)*100*$DU68),2)+GE68</f>
        <v>#N/A</v>
      </c>
      <c r="EW68" s="78"/>
      <c r="EX68" s="78"/>
      <c r="EY68" s="78"/>
      <c r="EZ68" s="78"/>
      <c r="FA68" s="78"/>
      <c r="FB68" s="3">
        <v>1</v>
      </c>
      <c r="FC68" s="3">
        <v>2</v>
      </c>
      <c r="FD68" s="3">
        <v>3</v>
      </c>
      <c r="FE68" s="3">
        <v>4</v>
      </c>
      <c r="FF68" s="3">
        <v>5</v>
      </c>
      <c r="FG68" s="3">
        <v>6</v>
      </c>
      <c r="FI68" s="3" t="s">
        <v>1019</v>
      </c>
      <c r="FJ68" s="63">
        <f>IF(F69=0,0,ROUND(EH67*POWER(I67*100,2)/8,2))</f>
        <v>0</v>
      </c>
      <c r="FK68" s="3">
        <f>IF(F69=0,0,ROUND(5*EH67*POWER(I67*100,4)/(384*FL68),2))</f>
        <v>0</v>
      </c>
      <c r="FL68" s="642">
        <f>IF(F69=0,0,+VLOOKUP(VALUE(RIGHT(J67,4)),許容応力!$B$6:$K$22,10)*100)</f>
        <v>0</v>
      </c>
      <c r="FM68" s="3">
        <f>IF(F69=0,0,ROUND((FJ68)/DF67,1))</f>
        <v>0</v>
      </c>
      <c r="FN68" s="3">
        <f>IF(F69=0,0,ROUND(FK68/DG67,2))</f>
        <v>0</v>
      </c>
      <c r="FO68" s="3">
        <f>IF(F69=0,0,ROUND(FJ69/Z67,1))</f>
        <v>0</v>
      </c>
      <c r="FP68" s="3">
        <f>+FM68</f>
        <v>0</v>
      </c>
      <c r="FQ68" s="3">
        <f>+FN68</f>
        <v>0</v>
      </c>
      <c r="FR68" s="3">
        <f>+FO68</f>
        <v>0</v>
      </c>
      <c r="FS68" s="3">
        <f>IF(F69=0,0,ROUND(VLOOKUP(VALUE(RIGHT(J67,4)),許容応力!$B$6:$K$22,9)*1.1/3*100,0))</f>
        <v>0</v>
      </c>
      <c r="FT68" s="3">
        <f>IF(F69=0,0,ROUND(VLOOKUP(VALUE(RIGHT($J67,4)),許容応力!$B$6:$K$22,9)*2/3*0.8*100,0))</f>
        <v>0</v>
      </c>
      <c r="FU68" s="3">
        <f>IF(F69=0,0,ROUND(FM68/CZ67,2))</f>
        <v>0</v>
      </c>
      <c r="FV68" s="3">
        <f>IF(F69=0,0,ROUND(FN68/DA67,2))</f>
        <v>0</v>
      </c>
      <c r="FW68" s="3">
        <f>IF(F69=0,0,ROUND(FO68/DB67,2))</f>
        <v>0</v>
      </c>
      <c r="FX68" s="3">
        <f>IF(F69=0,0,ROUND(FP68/DC67,2))</f>
        <v>0</v>
      </c>
      <c r="FY68" s="3">
        <f>IF(F69=0,0,ROUND(FQ68/DD67,2))</f>
        <v>0</v>
      </c>
      <c r="FZ68" s="3">
        <f>IF(F69=0,0,ROUND(FR68/DE67,2))</f>
        <v>0</v>
      </c>
      <c r="GA68" s="87">
        <f>IF(F69=0,0,ROUNDUP(EH67*POWER(I67*100,2)/8/DH67,1))</f>
        <v>0</v>
      </c>
      <c r="GB68" s="87">
        <f>IF(F69=0,0,ROUNDUP(5*EH67*POWER(I67*100,4)/(384*VLOOKUP(VALUE(RIGHT($J67,4)),許容応力!$B$6:$K$22,10)*100*$DO67),2))</f>
        <v>0</v>
      </c>
      <c r="GC68" s="87"/>
      <c r="GD68" s="87">
        <f>+GA68</f>
        <v>0</v>
      </c>
      <c r="GE68" s="87">
        <f>+GB68</f>
        <v>0</v>
      </c>
    </row>
    <row r="69" spans="2:187" ht="15.95" customHeight="1" thickBot="1" x14ac:dyDescent="0.2">
      <c r="B69" s="1651"/>
      <c r="C69" s="1416"/>
      <c r="D69" s="1648" t="s">
        <v>1248</v>
      </c>
      <c r="E69" s="1649"/>
      <c r="F69" s="1129"/>
      <c r="G69" s="289" t="s">
        <v>1250</v>
      </c>
      <c r="H69" s="1128"/>
      <c r="I69" s="860" t="s">
        <v>1004</v>
      </c>
      <c r="J69" s="1115"/>
      <c r="K69" s="861"/>
      <c r="L69" s="862"/>
      <c r="M69" s="860"/>
      <c r="N69" s="862"/>
      <c r="O69" s="914"/>
      <c r="P69" s="863"/>
      <c r="Q69" s="863"/>
      <c r="R69" s="863"/>
      <c r="S69" s="913"/>
      <c r="T69" s="863"/>
      <c r="U69" s="863"/>
      <c r="V69" s="863"/>
      <c r="W69" s="863"/>
      <c r="X69" s="864"/>
      <c r="Y69" s="865"/>
      <c r="Z69" s="424"/>
      <c r="AA69" s="863"/>
      <c r="AB69" s="866"/>
      <c r="AC69" s="867"/>
      <c r="AD69" s="867"/>
      <c r="AE69" s="863"/>
      <c r="AF69" s="867"/>
      <c r="AG69" s="867"/>
      <c r="AH69" s="868"/>
      <c r="AI69" s="869"/>
      <c r="AJ69" s="870"/>
      <c r="AK69" s="871"/>
      <c r="AL69" s="872"/>
      <c r="AM69" s="865"/>
      <c r="AN69" s="865"/>
      <c r="AO69" s="873"/>
      <c r="AP69" s="189"/>
      <c r="AQ69" s="193"/>
      <c r="AR69" s="23"/>
      <c r="AS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916"/>
      <c r="CO69" s="548"/>
      <c r="CP69" s="9"/>
      <c r="CQ69" s="9"/>
      <c r="CR69" s="9"/>
      <c r="CS69" s="9"/>
      <c r="CT69" s="58"/>
      <c r="CU69" s="78"/>
      <c r="CV69" s="78"/>
      <c r="CW69" s="78"/>
      <c r="CX69" s="78"/>
      <c r="CY69" s="78"/>
      <c r="CZ69" s="78"/>
      <c r="DA69" s="63"/>
      <c r="DB69" s="78"/>
      <c r="DC69" s="78"/>
      <c r="DD69" s="63"/>
      <c r="DE69" s="78"/>
      <c r="DF69" s="63"/>
      <c r="DG69" s="63"/>
      <c r="DH69" s="10"/>
      <c r="DI69" s="63"/>
      <c r="DJ69" s="10"/>
      <c r="DK69" s="63"/>
      <c r="DL69" s="10"/>
      <c r="DM69" s="63"/>
      <c r="DN69" s="63"/>
      <c r="DO69" s="78"/>
      <c r="DP69" s="78"/>
      <c r="DQ69" s="78"/>
      <c r="DR69" s="92"/>
      <c r="DS69" s="80"/>
      <c r="DT69" s="78"/>
      <c r="DU69" s="78"/>
      <c r="DV69" s="78"/>
      <c r="DW69" s="78"/>
      <c r="DX69" s="78"/>
      <c r="DY69" s="71"/>
      <c r="DZ69" s="78"/>
      <c r="EA69" s="93"/>
      <c r="EB69" s="78"/>
      <c r="EC69" s="78"/>
      <c r="ED69" s="78"/>
      <c r="EE69" s="78"/>
      <c r="EF69" s="78"/>
      <c r="EG69" s="78"/>
      <c r="EH69" s="78"/>
      <c r="EI69" s="78"/>
      <c r="EJ69" s="78"/>
      <c r="EK69" s="78"/>
      <c r="EL69" s="63"/>
      <c r="EM69" s="63"/>
      <c r="EO69" s="63"/>
      <c r="EP69" s="63"/>
      <c r="EQ69" s="155"/>
      <c r="ER69" s="78"/>
      <c r="ES69" s="78"/>
      <c r="ET69" s="78"/>
      <c r="EU69" s="78"/>
      <c r="EV69" s="78"/>
      <c r="EW69" s="78"/>
      <c r="EX69" s="78"/>
      <c r="EY69" s="78"/>
      <c r="EZ69" s="78"/>
      <c r="FA69" s="78"/>
      <c r="FB69" s="128">
        <f>+準備!$G$20/100*J69</f>
        <v>0</v>
      </c>
      <c r="FC69" s="128">
        <f>+準備!$G$24/100*J69</f>
        <v>0</v>
      </c>
      <c r="FD69" s="128">
        <f>+準備!$G$28/100*J69</f>
        <v>0</v>
      </c>
      <c r="FE69" s="128">
        <f>+準備!$G$32/100*J69</f>
        <v>0</v>
      </c>
      <c r="FF69" s="128">
        <f>+準備!$G$36/100*J69</f>
        <v>0</v>
      </c>
      <c r="FG69" s="128">
        <f>+準備!$G$38/100*J69</f>
        <v>0</v>
      </c>
      <c r="FI69" s="3" t="s">
        <v>1018</v>
      </c>
      <c r="FJ69" s="63">
        <f>IF(F69=0,0,ROUND(EH67*I67*100/2,2))</f>
        <v>0</v>
      </c>
      <c r="FK69" s="63"/>
      <c r="FM69" s="3">
        <f t="shared" ref="FM69:FR69" si="239">+FM68</f>
        <v>0</v>
      </c>
      <c r="FN69" s="3">
        <f t="shared" si="239"/>
        <v>0</v>
      </c>
      <c r="FO69" s="3">
        <f t="shared" si="239"/>
        <v>0</v>
      </c>
      <c r="FP69" s="3">
        <f t="shared" si="239"/>
        <v>0</v>
      </c>
      <c r="FQ69" s="3">
        <f t="shared" si="239"/>
        <v>0</v>
      </c>
      <c r="FR69" s="3">
        <f t="shared" si="239"/>
        <v>0</v>
      </c>
      <c r="FS69" s="3">
        <f>IF(F69=0,0,ROUND(EH67*I67*100/2/FS68/AM67,2))</f>
        <v>0</v>
      </c>
      <c r="FT69" s="3">
        <f>IF(F69=0,0,ROUND(EH67*I67*100/2/FT68/AM67,2))</f>
        <v>0</v>
      </c>
      <c r="FU69" s="3">
        <f t="shared" ref="FU69:FZ69" si="240">+FU68</f>
        <v>0</v>
      </c>
      <c r="FV69" s="3">
        <f t="shared" si="240"/>
        <v>0</v>
      </c>
      <c r="FW69" s="3">
        <f t="shared" si="240"/>
        <v>0</v>
      </c>
      <c r="FX69" s="3">
        <f t="shared" si="240"/>
        <v>0</v>
      </c>
      <c r="FY69" s="3">
        <f t="shared" si="240"/>
        <v>0</v>
      </c>
      <c r="FZ69" s="3">
        <f t="shared" si="240"/>
        <v>0</v>
      </c>
    </row>
    <row r="70" spans="2:187" ht="15.95" customHeight="1" x14ac:dyDescent="0.15">
      <c r="B70" s="1367" t="s">
        <v>167</v>
      </c>
      <c r="C70" s="1162"/>
      <c r="D70" s="1192" t="s">
        <v>807</v>
      </c>
      <c r="E70" s="1199" t="s">
        <v>190</v>
      </c>
      <c r="F70" s="1192"/>
      <c r="G70" s="1375" t="s">
        <v>239</v>
      </c>
      <c r="H70" s="1375" t="s">
        <v>196</v>
      </c>
      <c r="I70" s="1375" t="s">
        <v>15</v>
      </c>
      <c r="J70" s="1192" t="s">
        <v>783</v>
      </c>
      <c r="K70" s="1280"/>
      <c r="L70" s="1280"/>
      <c r="M70" s="1196" t="s">
        <v>211</v>
      </c>
      <c r="N70" s="1192" t="s">
        <v>199</v>
      </c>
      <c r="O70" s="1192"/>
      <c r="P70" s="1192" t="s">
        <v>200</v>
      </c>
      <c r="Q70" s="1192"/>
      <c r="R70" s="1227" t="s">
        <v>165</v>
      </c>
      <c r="S70" s="1174"/>
      <c r="T70" s="1172" t="s">
        <v>166</v>
      </c>
      <c r="U70" s="1541"/>
      <c r="V70" s="222"/>
      <c r="W70" s="222"/>
      <c r="X70" s="222"/>
      <c r="Y70" s="222"/>
      <c r="Z70" s="222"/>
      <c r="AA70" s="222"/>
      <c r="AB70" s="222"/>
      <c r="AC70" s="302"/>
      <c r="AD70" s="579"/>
      <c r="AE70" s="302"/>
      <c r="AF70" s="194"/>
      <c r="AG70" s="194"/>
      <c r="AH70" s="194"/>
      <c r="AI70" s="194"/>
      <c r="AJ70" s="194"/>
      <c r="AK70" s="194"/>
      <c r="AL70" s="234"/>
      <c r="AM70" s="234"/>
      <c r="AN70" s="234"/>
      <c r="AO70" s="236"/>
      <c r="AP70" s="18"/>
      <c r="AQ70" s="18"/>
      <c r="AR70" s="76"/>
      <c r="AS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18"/>
      <c r="CO70" s="18"/>
      <c r="CP70" s="18"/>
      <c r="CQ70" s="18"/>
      <c r="CR70" s="18"/>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57"/>
      <c r="DY70" s="57"/>
      <c r="DZ70" s="57"/>
      <c r="EA70" s="57"/>
      <c r="EB70" s="57"/>
      <c r="EC70" s="57"/>
      <c r="ED70" s="57"/>
      <c r="EE70" s="57"/>
      <c r="EF70" s="57"/>
      <c r="EG70" s="57"/>
      <c r="EH70" s="57"/>
      <c r="EI70" s="57"/>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row>
    <row r="71" spans="2:187" ht="15.95" customHeight="1" x14ac:dyDescent="0.15">
      <c r="B71" s="1368"/>
      <c r="C71" s="1369"/>
      <c r="D71" s="1593"/>
      <c r="E71" s="1419"/>
      <c r="F71" s="1374"/>
      <c r="G71" s="1376"/>
      <c r="H71" s="1378"/>
      <c r="I71" s="1378"/>
      <c r="J71" s="1166"/>
      <c r="K71" s="1166"/>
      <c r="L71" s="1166"/>
      <c r="M71" s="1276"/>
      <c r="N71" s="586" t="s">
        <v>188</v>
      </c>
      <c r="O71" s="586" t="s">
        <v>189</v>
      </c>
      <c r="P71" s="586" t="s">
        <v>188</v>
      </c>
      <c r="Q71" s="586" t="s">
        <v>189</v>
      </c>
      <c r="R71" s="1405"/>
      <c r="S71" s="1236"/>
      <c r="T71" s="1542"/>
      <c r="U71" s="1543"/>
      <c r="V71" s="223"/>
      <c r="W71" s="223"/>
      <c r="X71" s="223"/>
      <c r="Y71" s="223"/>
      <c r="Z71" s="223"/>
      <c r="AA71" s="223"/>
      <c r="AB71" s="223"/>
      <c r="AC71" s="579"/>
      <c r="AD71" s="579"/>
      <c r="AE71" s="302"/>
      <c r="AF71" s="194"/>
      <c r="AG71" s="194"/>
      <c r="AH71" s="194"/>
      <c r="AI71" s="194"/>
      <c r="AJ71" s="194"/>
      <c r="AK71" s="194"/>
      <c r="AL71" s="223"/>
      <c r="AM71" s="223"/>
      <c r="AN71" s="223"/>
      <c r="AO71" s="317"/>
      <c r="AP71" s="76"/>
      <c r="AQ71" s="76"/>
      <c r="AR71" s="76"/>
      <c r="AS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63"/>
      <c r="CT71" s="18" t="s">
        <v>209</v>
      </c>
      <c r="CU71" s="18" t="s">
        <v>210</v>
      </c>
      <c r="CV71" s="74" t="s">
        <v>421</v>
      </c>
      <c r="CW71" s="63" t="s">
        <v>201</v>
      </c>
      <c r="CX71" s="63" t="s">
        <v>202</v>
      </c>
      <c r="CY71" s="1522" t="s">
        <v>168</v>
      </c>
      <c r="CZ71" s="1522"/>
      <c r="DA71" s="1522" t="s">
        <v>203</v>
      </c>
      <c r="DB71" s="1522"/>
      <c r="DC71" s="63"/>
      <c r="DD71" s="63"/>
      <c r="DE71" s="63"/>
      <c r="DF71" s="63"/>
      <c r="DG71" s="63">
        <f>+VALUE(RIGHT(G3,3))</f>
        <v>0</v>
      </c>
      <c r="DH71" s="63"/>
      <c r="DI71" s="63"/>
      <c r="DJ71" s="63"/>
      <c r="DK71" s="63"/>
      <c r="DL71" s="63"/>
      <c r="DM71" s="63"/>
      <c r="DN71" s="63"/>
      <c r="DO71" s="63"/>
      <c r="DP71" s="63" t="s">
        <v>236</v>
      </c>
      <c r="DQ71" s="63" t="s">
        <v>237</v>
      </c>
      <c r="DR71" s="63"/>
      <c r="DS71" s="63"/>
      <c r="DT71" s="63"/>
      <c r="DU71" s="63"/>
      <c r="DV71" s="63"/>
      <c r="DW71" s="63"/>
      <c r="DX71" s="57"/>
      <c r="DY71" s="57"/>
      <c r="DZ71" s="57"/>
      <c r="EA71" s="57"/>
      <c r="EB71" s="57"/>
      <c r="EC71" s="57"/>
      <c r="ED71" s="57"/>
      <c r="EE71" s="57"/>
      <c r="EF71" s="57"/>
      <c r="EG71" s="57"/>
      <c r="EH71" s="57"/>
      <c r="EI71" s="57"/>
      <c r="EJ71" s="63"/>
      <c r="EK71" s="63"/>
      <c r="EL71" s="63"/>
      <c r="EM71" s="63"/>
      <c r="EN71" s="63"/>
      <c r="EO71" s="63"/>
      <c r="EP71" s="63"/>
      <c r="EQ71" s="63"/>
      <c r="ER71" s="63"/>
      <c r="ES71" s="63"/>
      <c r="ET71" s="75" t="e">
        <f>+#REF!</f>
        <v>#REF!</v>
      </c>
      <c r="EU71" s="63" t="e">
        <f>+IF(ET71&gt;ET72,ET71,ET72)</f>
        <v>#REF!</v>
      </c>
      <c r="EV71" s="63"/>
      <c r="EW71" s="63"/>
      <c r="EX71" s="63"/>
      <c r="EY71" s="63"/>
      <c r="EZ71" s="63"/>
      <c r="FA71" s="63"/>
      <c r="FB71" s="63"/>
      <c r="FC71" s="63"/>
      <c r="FD71" s="63"/>
      <c r="FE71" s="63"/>
      <c r="FF71" s="63"/>
      <c r="FG71" s="63"/>
      <c r="FH71" s="63"/>
      <c r="FI71" s="63"/>
      <c r="FJ71" s="63"/>
      <c r="FK71" s="63"/>
      <c r="FL71" s="63"/>
      <c r="FM71" s="63"/>
      <c r="FN71" s="63"/>
    </row>
    <row r="72" spans="2:187" ht="32.1" customHeight="1" thickBot="1" x14ac:dyDescent="0.2">
      <c r="B72" s="389"/>
      <c r="C72" s="571" t="s">
        <v>809</v>
      </c>
      <c r="D72" s="1570"/>
      <c r="E72" s="1112" t="s">
        <v>184</v>
      </c>
      <c r="F72" s="179" t="s">
        <v>191</v>
      </c>
      <c r="G72" s="1377"/>
      <c r="H72" s="1379"/>
      <c r="I72" s="1379"/>
      <c r="J72" s="459" t="s">
        <v>781</v>
      </c>
      <c r="K72" s="459" t="s">
        <v>163</v>
      </c>
      <c r="L72" s="459" t="s">
        <v>782</v>
      </c>
      <c r="M72" s="567" t="s">
        <v>212</v>
      </c>
      <c r="N72" s="179" t="s">
        <v>194</v>
      </c>
      <c r="O72" s="179" t="s">
        <v>195</v>
      </c>
      <c r="P72" s="179" t="s">
        <v>198</v>
      </c>
      <c r="Q72" s="179" t="s">
        <v>195</v>
      </c>
      <c r="R72" s="1549"/>
      <c r="S72" s="1177"/>
      <c r="T72" s="1188"/>
      <c r="U72" s="1544"/>
      <c r="V72" s="223"/>
      <c r="W72" s="223"/>
      <c r="X72" s="223"/>
      <c r="Y72" s="223"/>
      <c r="Z72" s="223"/>
      <c r="AA72" s="223"/>
      <c r="AB72" s="223"/>
      <c r="AC72" s="579"/>
      <c r="AD72" s="579"/>
      <c r="AE72" s="302"/>
      <c r="AF72" s="194"/>
      <c r="AG72" s="194"/>
      <c r="AH72" s="194"/>
      <c r="AI72" s="194"/>
      <c r="AJ72" s="194"/>
      <c r="AK72" s="194"/>
      <c r="AL72" s="223"/>
      <c r="AM72" s="194"/>
      <c r="AN72" s="302"/>
      <c r="AO72" s="317"/>
      <c r="AP72" s="76"/>
      <c r="AQ72" s="76"/>
      <c r="AR72" s="18"/>
      <c r="AS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76"/>
      <c r="CO72" s="76"/>
      <c r="CP72" s="76"/>
      <c r="CQ72" s="76"/>
      <c r="CR72" s="76"/>
      <c r="CS72" s="63"/>
      <c r="CT72" s="63"/>
      <c r="CU72" s="63"/>
      <c r="CV72" s="63"/>
      <c r="CW72" s="588" t="s">
        <v>274</v>
      </c>
      <c r="CX72" s="588" t="s">
        <v>274</v>
      </c>
      <c r="CY72" s="52" t="s">
        <v>287</v>
      </c>
      <c r="CZ72" s="588" t="s">
        <v>288</v>
      </c>
      <c r="DA72" s="52" t="s">
        <v>289</v>
      </c>
      <c r="DB72" s="588" t="s">
        <v>290</v>
      </c>
      <c r="DC72" s="588" t="s">
        <v>291</v>
      </c>
      <c r="DD72" s="588" t="s">
        <v>292</v>
      </c>
      <c r="DE72" s="52" t="s">
        <v>293</v>
      </c>
      <c r="DF72" s="52" t="s">
        <v>294</v>
      </c>
      <c r="DG72" s="588" t="s">
        <v>295</v>
      </c>
      <c r="DH72" s="588" t="s">
        <v>296</v>
      </c>
      <c r="DI72" s="63"/>
      <c r="DJ72" s="588" t="s">
        <v>15</v>
      </c>
      <c r="DK72" s="17" t="s">
        <v>83</v>
      </c>
      <c r="DL72" s="74" t="s">
        <v>270</v>
      </c>
      <c r="DM72" s="588" t="s">
        <v>271</v>
      </c>
      <c r="DN72" s="588" t="s">
        <v>272</v>
      </c>
      <c r="DO72" s="588" t="s">
        <v>273</v>
      </c>
      <c r="DP72" s="588" t="s">
        <v>269</v>
      </c>
      <c r="DQ72" s="588" t="s">
        <v>269</v>
      </c>
      <c r="DR72" s="63"/>
      <c r="DS72" s="63"/>
      <c r="DT72" s="63"/>
      <c r="DU72" s="63"/>
      <c r="DV72" s="63"/>
      <c r="DW72" s="63"/>
      <c r="DX72" s="57"/>
      <c r="DY72" s="57"/>
      <c r="DZ72" s="57"/>
      <c r="EA72" s="57"/>
      <c r="EB72" s="57"/>
      <c r="EC72" s="57"/>
      <c r="ED72" s="57"/>
      <c r="EE72" s="57"/>
      <c r="EF72" s="57"/>
      <c r="EG72" s="57"/>
      <c r="EH72" s="57"/>
      <c r="EI72" s="57"/>
      <c r="EJ72" s="63"/>
      <c r="EK72" s="63"/>
      <c r="EL72" s="63"/>
      <c r="EM72" s="63"/>
      <c r="EN72" s="63"/>
      <c r="EO72" s="87"/>
      <c r="EP72" s="63"/>
      <c r="EQ72" s="63"/>
      <c r="ER72" s="63"/>
      <c r="ES72" s="63"/>
      <c r="ET72" s="75" t="e">
        <f>+#REF!</f>
        <v>#REF!</v>
      </c>
      <c r="EU72" s="63"/>
      <c r="EV72" s="63"/>
      <c r="EW72" s="63"/>
      <c r="EX72" s="63"/>
      <c r="EY72" s="63"/>
      <c r="EZ72" s="63"/>
      <c r="FA72" s="63"/>
      <c r="FB72" s="63"/>
      <c r="FC72" s="63"/>
      <c r="FD72" s="63"/>
      <c r="FE72" s="63"/>
      <c r="FF72" s="63"/>
      <c r="FG72" s="63"/>
      <c r="FH72" s="63"/>
      <c r="FI72" s="63"/>
      <c r="FJ72" s="63"/>
      <c r="FK72" s="63"/>
      <c r="FL72" s="63"/>
      <c r="FM72" s="63"/>
      <c r="FN72" s="63"/>
    </row>
    <row r="73" spans="2:187" ht="32.1" customHeight="1" thickBot="1" x14ac:dyDescent="0.2">
      <c r="B73" s="1512" t="s">
        <v>823</v>
      </c>
      <c r="C73" s="575" t="s">
        <v>827</v>
      </c>
      <c r="D73" s="575" t="str">
        <f>+""</f>
        <v/>
      </c>
      <c r="E73" s="590"/>
      <c r="F73" s="572" t="str">
        <f t="shared" ref="F73:F79" si="241">IF(E73=0,"",ROUND(SQRT(COS(DK73*1.5*PI()/180)),3))</f>
        <v/>
      </c>
      <c r="G73" s="577"/>
      <c r="H73" s="577"/>
      <c r="I73" s="1130"/>
      <c r="J73" s="1134"/>
      <c r="K73" s="568">
        <f t="shared" ref="K73:K79" si="242">+IF(J73=0,0,"×")</f>
        <v>0</v>
      </c>
      <c r="L73" s="251">
        <f t="shared" ref="L73:L78" si="243">IF(J73=0,0,+DX73)</f>
        <v>0</v>
      </c>
      <c r="M73" s="254"/>
      <c r="N73" s="226" t="str">
        <f t="shared" ref="N73:N79" si="244">IF(L73=0,"",ROUNDUP(CY73/DE73,2))</f>
        <v/>
      </c>
      <c r="O73" s="226" t="str">
        <f t="shared" ref="O73:O79" si="245">IF(L73=0,"",ROUND(CZ73/DH73,2))</f>
        <v/>
      </c>
      <c r="P73" s="226" t="str">
        <f t="shared" ref="P73:P79" si="246">IF(L73=0,"",ROUNDUP(DA73/DF73,2))</f>
        <v/>
      </c>
      <c r="Q73" s="226" t="str">
        <f t="shared" ref="Q73:Q79" si="247">IF(L73=0,"",ROUNDUP(DB73/DN73,2))</f>
        <v/>
      </c>
      <c r="R73" s="1539" t="str">
        <f t="shared" ref="R73:R78" si="248">IF(N73=+"","",IF(AND(N73&lt;=1,O73&lt;=1,P73&lt;=1,Q73&lt;=1),"OK!","NO!"))</f>
        <v/>
      </c>
      <c r="S73" s="1540"/>
      <c r="T73" s="227">
        <f t="shared" ref="T73:T93" si="249">+IF(H73=0,0,"1/")</f>
        <v>0</v>
      </c>
      <c r="U73" s="228">
        <f t="shared" ref="U73:U93" si="250">IF(H73=0,0,+DG73)</f>
        <v>0</v>
      </c>
      <c r="V73" s="234"/>
      <c r="W73" s="234"/>
      <c r="X73" s="234"/>
      <c r="Y73" s="234"/>
      <c r="Z73" s="234"/>
      <c r="AA73" s="234"/>
      <c r="AB73" s="234"/>
      <c r="AC73" s="579"/>
      <c r="AD73" s="579"/>
      <c r="AE73" s="302"/>
      <c r="AF73" s="194"/>
      <c r="AG73" s="194"/>
      <c r="AH73" s="194"/>
      <c r="AI73" s="194"/>
      <c r="AJ73" s="194"/>
      <c r="AK73" s="194"/>
      <c r="AL73" s="234"/>
      <c r="AM73" s="194"/>
      <c r="AN73" s="302"/>
      <c r="AO73" s="236"/>
      <c r="AP73" s="18"/>
      <c r="AQ73" s="18"/>
      <c r="AR73" s="18"/>
      <c r="AS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63"/>
      <c r="CT73" s="63">
        <f>ROUNDUP(IF(VALUE(RIGHT($G$3,3))=1,CU73*0.7,0),0)</f>
        <v>0</v>
      </c>
      <c r="CU73" s="63" t="e">
        <f>ROUNDUP(IF(VALUE(RIGHT($G$3,4))=1,$I$3*30*F73*100,$I$3*20*F73*100),0)</f>
        <v>#VALUE!</v>
      </c>
      <c r="CV73" s="63"/>
      <c r="CW73" s="63" t="e">
        <f>ROUNDUP((準備!$F$57/100/DL73+IF(AND(VALUE(RIGHT($G$3,4))=1,$T$3=2),準備!$D$43/100*F73*1.2,準備!$D$43/100*F73))*G73,2)</f>
        <v>#VALUE!</v>
      </c>
      <c r="CX73" s="63" t="e">
        <f>ROUNDUP((準備!$F$57/100/DL73+IF(AND(VALUE(RIGHT($G$3,4))=1,$T$3=2),準備!$D$44/100*F73*1.2,準備!$D$44/100*F73))*G73,2)</f>
        <v>#VALUE!</v>
      </c>
      <c r="CY73" s="63" t="e">
        <f t="shared" ref="CY73:CY79" si="251">ROUNDUP($CW73*POWER($H73*100,2)/8/$DC73,1)</f>
        <v>#VALUE!</v>
      </c>
      <c r="CZ73" s="63" t="e">
        <f>ROUNDUP(5*$CW73*POWER($H73*100,4)/(384*VLOOKUP(VALUE(RIGHT($I73,4)),許容応力!$B$6:$K$22,10)*100*$DD73),2)</f>
        <v>#VALUE!</v>
      </c>
      <c r="DA73" s="63" t="e">
        <f t="shared" ref="DA73:DA78" si="252">ROUNDUP($CX73*POWER($H73*100,2)/8/$DC73,1)</f>
        <v>#VALUE!</v>
      </c>
      <c r="DB73" s="63" t="e">
        <f>ROUNDUP(5*$CX73*POWER($H73*100,4)/(384*VLOOKUP(VALUE(RIGHT($I73,4)),許容応力!$B$6:$K$22,10)*100*$DD73),2)</f>
        <v>#VALUE!</v>
      </c>
      <c r="DC73" s="63">
        <f>ROUNDDOWN($J73/10*POWER($L73/10,2)/6*0.95,1)</f>
        <v>0</v>
      </c>
      <c r="DD73" s="63">
        <f>ROUNDDOWN($J73*0.95/10*POWER($L73*0.95/10,3)/12,2)</f>
        <v>0</v>
      </c>
      <c r="DE73" s="10" t="e">
        <f>IF($DG$6=2,ROUND(VLOOKUP(DJ73,許容応力!$B$6:$K$22,6)*1.1/3*100,0),ROUND(VLOOKUP(DJ73,許容応力!$B$6:$K$22,6)*1.1/3*1.3*100,0))</f>
        <v>#VALUE!</v>
      </c>
      <c r="DF73" s="63" t="e">
        <f>ROUND(VLOOKUP(DJ73,許容応力!$B$6:$K$22,7)*100*2/3*0.8,0)</f>
        <v>#VALUE!</v>
      </c>
      <c r="DG73" s="63">
        <f t="shared" ref="DG73:DG78" si="253">IF($DG$71=2,VLOOKUP(VALUE(RIGHT(C73,4)),$I$610:$L$617,$DG$71+1)*2,VLOOKUP(VALUE(RIGHT(C73,4)),$I$610:$L$617,$DG$71+1))</f>
        <v>3</v>
      </c>
      <c r="DH73" s="63">
        <f t="shared" ref="DH73:DH93" si="254">ROUND(H73*100/DG73,2)</f>
        <v>0</v>
      </c>
      <c r="DI73" s="63"/>
      <c r="DJ73" s="63" t="e">
        <f t="shared" ref="DJ73:DJ79" si="255">+VALUE(RIGHT(I73,3))</f>
        <v>#VALUE!</v>
      </c>
      <c r="DK73" s="69">
        <f t="shared" ref="DK73:DK79" si="256">ROUND(ATAN(E73/10)*180/PI(),4)</f>
        <v>0</v>
      </c>
      <c r="DL73" s="70">
        <f t="shared" ref="DL73:DL79" si="257">ROUND(COS(DK73*PI()/180),3)</f>
        <v>1</v>
      </c>
      <c r="DM73" s="63">
        <f t="shared" ref="DM73:DM78" si="258">VLOOKUP(VALUE(RIGHT(C73,4)),$I$610:$L$617,4)</f>
        <v>150</v>
      </c>
      <c r="DN73" s="63">
        <f t="shared" ref="DN73:DN93" si="259">ROUND(H73*100/DM73,2)</f>
        <v>0</v>
      </c>
      <c r="DO73" s="63"/>
      <c r="DP73" s="63"/>
      <c r="DQ73" s="63"/>
      <c r="DR73" s="63"/>
      <c r="DS73" s="63" t="e">
        <f t="shared" ref="DS73:DT78" si="260">IF(AND(DY73&gt;30,DY73&lt;=40),40,IF(AND(DY73&gt;40,DY73&lt;=45),45,IF(AND(DY73&gt;60,DY73&lt;=75),75,IF(AND(DY73&gt;90,DY73&lt;=105),105,IF(AND(DY73&gt;120,DY73&lt;=135),135,ROUNDUP(DY73/3,-1)*3)))))</f>
        <v>#VALUE!</v>
      </c>
      <c r="DT73" s="63" t="e">
        <f t="shared" si="260"/>
        <v>#VALUE!</v>
      </c>
      <c r="DV73" s="63" t="e">
        <f t="shared" ref="DV73:DW78" si="261">IF(AND(EB73&gt;30,EB73&lt;=40),40,IF(AND(EB73&gt;40,EB73&lt;=45),45,IF(AND(EB73&gt;60,EB73&lt;=75),75,IF(AND(EB73&gt;90,EB73&lt;=105),105,IF(AND(EB73&gt;120,EB73&lt;=135),135,ROUNDUP(EB73/3,-1)*3)))))</f>
        <v>#VALUE!</v>
      </c>
      <c r="DW73" s="63" t="e">
        <f t="shared" si="261"/>
        <v>#VALUE!</v>
      </c>
      <c r="DX73" s="155" t="e">
        <f t="shared" ref="DX73:DX80" si="262">+MAX(DS73:DW73)</f>
        <v>#VALUE!</v>
      </c>
      <c r="DY73" s="63" t="e">
        <f>ROUNDUP(SQRT(EE73/($J73/10)*6/0.95)*10,0)</f>
        <v>#VALUE!</v>
      </c>
      <c r="DZ73" s="63" t="e">
        <f>POWER(ROUND(EF73/($J73/10)*12,2),1/3)*10/0.95</f>
        <v>#VALUE!</v>
      </c>
      <c r="EB73" s="63" t="e">
        <f>ROUND(SQRT(EH73/($J73/10)*6/0.95)*10,1)</f>
        <v>#VALUE!</v>
      </c>
      <c r="EC73" s="63" t="e">
        <f>POWER(ROUND(EI73/($J73/10)*12,2),1/3)*10/0.95</f>
        <v>#VALUE!</v>
      </c>
      <c r="ED73" s="57"/>
      <c r="EE73" s="63" t="e">
        <f t="shared" ref="EE73:EE78" si="263">ROUNDUP($CW73*POWER($H73*100,2)/8/$DE73,1)</f>
        <v>#VALUE!</v>
      </c>
      <c r="EF73" s="63" t="e">
        <f>ROUNDUP(5*$CW73*POWER($H73*100,4)/(384*VLOOKUP(VALUE(RIGHT($I73,4)),許容応力!$B$6:$K$22,10)*100*$DH73),2)</f>
        <v>#VALUE!</v>
      </c>
      <c r="EH73" s="63" t="e">
        <f t="shared" ref="EH73:EH78" si="264">ROUNDUP($CX73*POWER($H73*100,2)/8/$DF73,1)</f>
        <v>#VALUE!</v>
      </c>
      <c r="EI73" s="63" t="e">
        <f>ROUNDUP(5*$CX73*POWER($H73*100,4)/(384*VLOOKUP(VALUE(RIGHT($I73,4)),許容応力!$B$6:$K$22,10)*100*$DN73),2)</f>
        <v>#VALUE!</v>
      </c>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row>
    <row r="74" spans="2:187" ht="32.1" customHeight="1" thickBot="1" x14ac:dyDescent="0.2">
      <c r="B74" s="1512"/>
      <c r="C74" s="561" t="s">
        <v>837</v>
      </c>
      <c r="D74" s="561" t="str">
        <f>+""</f>
        <v/>
      </c>
      <c r="E74" s="582"/>
      <c r="F74" s="560" t="str">
        <f t="shared" si="241"/>
        <v/>
      </c>
      <c r="G74" s="578"/>
      <c r="H74" s="578"/>
      <c r="I74" s="1131"/>
      <c r="J74" s="1135"/>
      <c r="K74" s="586">
        <f t="shared" si="242"/>
        <v>0</v>
      </c>
      <c r="L74" s="255">
        <f t="shared" si="243"/>
        <v>0</v>
      </c>
      <c r="M74" s="256"/>
      <c r="N74" s="257" t="str">
        <f t="shared" si="244"/>
        <v/>
      </c>
      <c r="O74" s="257" t="str">
        <f t="shared" si="245"/>
        <v/>
      </c>
      <c r="P74" s="257" t="str">
        <f t="shared" si="246"/>
        <v/>
      </c>
      <c r="Q74" s="257" t="str">
        <f t="shared" si="247"/>
        <v/>
      </c>
      <c r="R74" s="1545" t="str">
        <f t="shared" si="248"/>
        <v/>
      </c>
      <c r="S74" s="1546"/>
      <c r="T74" s="258">
        <f t="shared" si="249"/>
        <v>0</v>
      </c>
      <c r="U74" s="259">
        <f t="shared" si="250"/>
        <v>0</v>
      </c>
      <c r="V74" s="234"/>
      <c r="W74" s="234"/>
      <c r="X74" s="234"/>
      <c r="Y74" s="234"/>
      <c r="Z74" s="234"/>
      <c r="AA74" s="234"/>
      <c r="AB74" s="234"/>
      <c r="AC74" s="579"/>
      <c r="AD74" s="579"/>
      <c r="AE74" s="302"/>
      <c r="AF74" s="194"/>
      <c r="AG74" s="194"/>
      <c r="AH74" s="194"/>
      <c r="AI74" s="194"/>
      <c r="AJ74" s="194"/>
      <c r="AK74" s="194"/>
      <c r="AL74" s="234"/>
      <c r="AM74" s="194"/>
      <c r="AN74" s="302"/>
      <c r="AO74" s="236"/>
      <c r="AP74" s="18"/>
      <c r="AQ74" s="18"/>
      <c r="AR74" s="18"/>
      <c r="AS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63"/>
      <c r="CT74" s="63">
        <f>ROUNDUP(IF(VALUE(RIGHT($G$3,3))=1,CU74*0.7,0),0)</f>
        <v>0</v>
      </c>
      <c r="CU74" s="63" t="e">
        <f>ROUNDUP(IF(VALUE(RIGHT($G$3,4))=1,$I$3*30*F74*100,$I$3*20*F74*100),0)</f>
        <v>#VALUE!</v>
      </c>
      <c r="CV74" s="63"/>
      <c r="CW74" s="63" t="e">
        <f>ROUNDUP((準備!$F$57/100/DL74+IF(AND(VALUE(RIGHT($G$3,4))=1,$T$3=2),準備!$D$43/100*F74*1.2,準備!$D$43/100*F74))*G74,2)</f>
        <v>#VALUE!</v>
      </c>
      <c r="CX74" s="63" t="e">
        <f>ROUNDUP((準備!$F$57/100/DL74+IF(AND(VALUE(RIGHT($G$3,4))=1,$T$3=2),準備!$D$44/100*F74*1.2,準備!$D$44/100*F74))*G74,2)</f>
        <v>#VALUE!</v>
      </c>
      <c r="CY74" s="63" t="e">
        <f t="shared" si="251"/>
        <v>#VALUE!</v>
      </c>
      <c r="CZ74" s="63" t="e">
        <f>ROUNDUP(5*$CW74*POWER($H74*100,4)/(384*VLOOKUP(VALUE(RIGHT($I74,4)),許容応力!$B$6:$K$22,10)*100*$DD74),2)</f>
        <v>#VALUE!</v>
      </c>
      <c r="DA74" s="63" t="e">
        <f t="shared" si="252"/>
        <v>#VALUE!</v>
      </c>
      <c r="DB74" s="63" t="e">
        <f>ROUNDUP(5*$CX74*POWER($H74*100,4)/(384*VLOOKUP(VALUE(RIGHT($I74,4)),許容応力!$B$6:$K$22,10)*100*$DD74),2)</f>
        <v>#VALUE!</v>
      </c>
      <c r="DC74" s="63">
        <f>ROUNDDOWN($J74/10*POWER($L74/10,2)/6*0.95,1)</f>
        <v>0</v>
      </c>
      <c r="DD74" s="63">
        <f>ROUNDDOWN($J74*0.95/10*POWER($L74*0.95/10,3)/12,2)</f>
        <v>0</v>
      </c>
      <c r="DE74" s="10" t="e">
        <f>IF($DG$6=2,ROUND(VLOOKUP(DJ74,許容応力!$B$6:$K$22,6)*1.1/3*100,0),ROUND(VLOOKUP(DJ74,許容応力!$B$6:$K$22,6)*1.1/3*1.3*100,0))</f>
        <v>#VALUE!</v>
      </c>
      <c r="DF74" s="63" t="e">
        <f>ROUND(VLOOKUP(DJ74,許容応力!$B$6:$K$22,7)*100*2/3*0.8,0)</f>
        <v>#VALUE!</v>
      </c>
      <c r="DG74" s="63">
        <f t="shared" si="253"/>
        <v>3</v>
      </c>
      <c r="DH74" s="63">
        <f t="shared" si="254"/>
        <v>0</v>
      </c>
      <c r="DI74" s="63"/>
      <c r="DJ74" s="63" t="e">
        <f t="shared" si="255"/>
        <v>#VALUE!</v>
      </c>
      <c r="DK74" s="69">
        <f t="shared" si="256"/>
        <v>0</v>
      </c>
      <c r="DL74" s="70">
        <f t="shared" si="257"/>
        <v>1</v>
      </c>
      <c r="DM74" s="63">
        <f t="shared" si="258"/>
        <v>150</v>
      </c>
      <c r="DN74" s="63">
        <f t="shared" si="259"/>
        <v>0</v>
      </c>
      <c r="DO74" s="63"/>
      <c r="DP74" s="63"/>
      <c r="DQ74" s="63"/>
      <c r="DR74" s="63"/>
      <c r="DS74" s="63" t="e">
        <f t="shared" si="260"/>
        <v>#VALUE!</v>
      </c>
      <c r="DT74" s="63" t="e">
        <f t="shared" si="260"/>
        <v>#VALUE!</v>
      </c>
      <c r="DV74" s="63" t="e">
        <f t="shared" si="261"/>
        <v>#VALUE!</v>
      </c>
      <c r="DW74" s="63" t="e">
        <f t="shared" si="261"/>
        <v>#VALUE!</v>
      </c>
      <c r="DX74" s="155" t="e">
        <f t="shared" si="262"/>
        <v>#VALUE!</v>
      </c>
      <c r="DY74" s="63" t="e">
        <f>ROUNDUP(SQRT(EE74/($J74/10)*6/0.95)*10,0)</f>
        <v>#VALUE!</v>
      </c>
      <c r="DZ74" s="63" t="e">
        <f>POWER(ROUND(EF74/($J74/10)*12,2),1/3)*10/0.95</f>
        <v>#VALUE!</v>
      </c>
      <c r="EB74" s="63" t="e">
        <f>ROUND(SQRT(EH74/($J74/10)*6/0.95)*10,1)</f>
        <v>#VALUE!</v>
      </c>
      <c r="EC74" s="63" t="e">
        <f>POWER(ROUND(EI74/($J74/10)*12,2),1/3)*10/0.95</f>
        <v>#VALUE!</v>
      </c>
      <c r="ED74" s="57"/>
      <c r="EE74" s="63" t="e">
        <f t="shared" si="263"/>
        <v>#VALUE!</v>
      </c>
      <c r="EF74" s="63" t="e">
        <f>ROUNDUP(5*$CW74*POWER($H74*100,4)/(384*VLOOKUP(VALUE(RIGHT($I74,4)),許容応力!$B$6:$K$22,10)*100*$DH74),2)</f>
        <v>#VALUE!</v>
      </c>
      <c r="EH74" s="63" t="e">
        <f t="shared" si="264"/>
        <v>#VALUE!</v>
      </c>
      <c r="EI74" s="63" t="e">
        <f>ROUNDUP(5*$CX74*POWER($H74*100,4)/(384*VLOOKUP(VALUE(RIGHT($I74,4)),許容応力!$B$6:$K$22,10)*100*$DN74),2)</f>
        <v>#VALUE!</v>
      </c>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row>
    <row r="75" spans="2:187" ht="32.1" customHeight="1" thickBot="1" x14ac:dyDescent="0.2">
      <c r="B75" s="1512"/>
      <c r="C75" s="565" t="s">
        <v>838</v>
      </c>
      <c r="D75" s="565" t="str">
        <f>+""</f>
        <v/>
      </c>
      <c r="E75" s="584"/>
      <c r="F75" s="260" t="str">
        <f t="shared" si="241"/>
        <v/>
      </c>
      <c r="G75" s="585"/>
      <c r="H75" s="585"/>
      <c r="I75" s="1132"/>
      <c r="J75" s="1136"/>
      <c r="K75" s="459">
        <f t="shared" si="242"/>
        <v>0</v>
      </c>
      <c r="L75" s="252">
        <f t="shared" si="243"/>
        <v>0</v>
      </c>
      <c r="M75" s="224"/>
      <c r="N75" s="229" t="str">
        <f t="shared" si="244"/>
        <v/>
      </c>
      <c r="O75" s="229" t="str">
        <f t="shared" si="245"/>
        <v/>
      </c>
      <c r="P75" s="229" t="str">
        <f t="shared" si="246"/>
        <v/>
      </c>
      <c r="Q75" s="229" t="str">
        <f t="shared" si="247"/>
        <v/>
      </c>
      <c r="R75" s="1547" t="str">
        <f t="shared" si="248"/>
        <v/>
      </c>
      <c r="S75" s="1548"/>
      <c r="T75" s="230">
        <f t="shared" si="249"/>
        <v>0</v>
      </c>
      <c r="U75" s="231">
        <f t="shared" si="250"/>
        <v>0</v>
      </c>
      <c r="V75" s="234"/>
      <c r="W75" s="234"/>
      <c r="X75" s="234"/>
      <c r="Y75" s="234"/>
      <c r="Z75" s="234"/>
      <c r="AA75" s="234"/>
      <c r="AB75" s="234"/>
      <c r="AC75" s="579"/>
      <c r="AD75" s="579"/>
      <c r="AE75" s="302"/>
      <c r="AF75" s="194"/>
      <c r="AG75" s="194"/>
      <c r="AH75" s="194"/>
      <c r="AI75" s="194"/>
      <c r="AJ75" s="194"/>
      <c r="AK75" s="194"/>
      <c r="AL75" s="234"/>
      <c r="AM75" s="194"/>
      <c r="AN75" s="302"/>
      <c r="AO75" s="236"/>
      <c r="AP75" s="18"/>
      <c r="AQ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63"/>
      <c r="CT75" s="63">
        <f>ROUNDUP(IF(VALUE(RIGHT($G$3,3))=1,CU75*0.7,0),0)</f>
        <v>0</v>
      </c>
      <c r="CU75" s="63" t="e">
        <f>ROUNDUP(IF(VALUE(RIGHT($G$3,4))=1,$I$3*30*F75*100,$I$3*20*F75*100),0)</f>
        <v>#VALUE!</v>
      </c>
      <c r="CV75" s="63"/>
      <c r="CW75" s="63" t="e">
        <f>ROUNDUP((準備!$F$57/100/DL75+IF(AND(VALUE(RIGHT($G$3,4))=1,$T$3=2),準備!$D$43/100*F75*1.2,準備!$D$43/100*F75))*G75,2)</f>
        <v>#VALUE!</v>
      </c>
      <c r="CX75" s="63" t="e">
        <f>ROUNDUP((準備!$F$57/100/DL75+IF(AND(VALUE(RIGHT($G$3,4))=1,$T$3=2),準備!$D$44/100*F75*1.2,準備!$D$44/100*F75))*G75,2)</f>
        <v>#VALUE!</v>
      </c>
      <c r="CY75" s="63" t="e">
        <f t="shared" si="251"/>
        <v>#VALUE!</v>
      </c>
      <c r="CZ75" s="63" t="e">
        <f>ROUNDUP(5*$CW75*POWER($H75*100,4)/(384*VLOOKUP(VALUE(RIGHT($I75,4)),許容応力!$B$6:$K$22,10)*100*$DD75),2)</f>
        <v>#VALUE!</v>
      </c>
      <c r="DA75" s="63" t="e">
        <f t="shared" si="252"/>
        <v>#VALUE!</v>
      </c>
      <c r="DB75" s="63" t="e">
        <f>ROUNDUP(5*$CX75*POWER($H75*100,4)/(384*VLOOKUP(VALUE(RIGHT($I75,4)),許容応力!$B$6:$K$22,10)*100*$DD75),2)</f>
        <v>#VALUE!</v>
      </c>
      <c r="DC75" s="63">
        <f>ROUNDDOWN($J75/10*POWER($L75/10,2)/6*0.95,1)</f>
        <v>0</v>
      </c>
      <c r="DD75" s="63">
        <f>ROUNDDOWN($J75*0.95/10*POWER($L75*0.95/10,3)/12,2)</f>
        <v>0</v>
      </c>
      <c r="DE75" s="10" t="e">
        <f>IF($DG$6=2,ROUND(VLOOKUP(DJ75,許容応力!$B$6:$K$22,6)*1.1/3*100,0),ROUND(VLOOKUP(DJ75,許容応力!$B$6:$K$22,6)*1.1/3*1.3*100,0))</f>
        <v>#VALUE!</v>
      </c>
      <c r="DF75" s="63" t="e">
        <f>ROUND(VLOOKUP(DJ75,許容応力!$B$6:$K$22,7)*100*2/3*0.8,0)</f>
        <v>#VALUE!</v>
      </c>
      <c r="DG75" s="63">
        <f t="shared" si="253"/>
        <v>3</v>
      </c>
      <c r="DH75" s="63">
        <f t="shared" si="254"/>
        <v>0</v>
      </c>
      <c r="DI75" s="63"/>
      <c r="DJ75" s="63" t="e">
        <f t="shared" si="255"/>
        <v>#VALUE!</v>
      </c>
      <c r="DK75" s="69">
        <f t="shared" si="256"/>
        <v>0</v>
      </c>
      <c r="DL75" s="70">
        <f t="shared" si="257"/>
        <v>1</v>
      </c>
      <c r="DM75" s="63">
        <f t="shared" si="258"/>
        <v>150</v>
      </c>
      <c r="DN75" s="63">
        <f t="shared" si="259"/>
        <v>0</v>
      </c>
      <c r="DO75" s="63"/>
      <c r="DP75" s="63"/>
      <c r="DQ75" s="63"/>
      <c r="DR75" s="63"/>
      <c r="DS75" s="63" t="e">
        <f t="shared" si="260"/>
        <v>#VALUE!</v>
      </c>
      <c r="DT75" s="63" t="e">
        <f t="shared" si="260"/>
        <v>#VALUE!</v>
      </c>
      <c r="DV75" s="63" t="e">
        <f t="shared" si="261"/>
        <v>#VALUE!</v>
      </c>
      <c r="DW75" s="63" t="e">
        <f t="shared" si="261"/>
        <v>#VALUE!</v>
      </c>
      <c r="DX75" s="155" t="e">
        <f t="shared" si="262"/>
        <v>#VALUE!</v>
      </c>
      <c r="DY75" s="63" t="e">
        <f>ROUNDUP(SQRT(EE75/($J75/10)*6/0.95)*10,0)</f>
        <v>#VALUE!</v>
      </c>
      <c r="DZ75" s="63" t="e">
        <f>POWER(ROUND(EF75/($J75/10)*12,2),1/3)*10/0.95</f>
        <v>#VALUE!</v>
      </c>
      <c r="EB75" s="63" t="e">
        <f>ROUND(SQRT(EH75/($J75/10)*6/0.95)*10,1)</f>
        <v>#VALUE!</v>
      </c>
      <c r="EC75" s="63" t="e">
        <f>POWER(ROUND(EI75/($J75/10)*12,2),1/3)*10/0.95</f>
        <v>#VALUE!</v>
      </c>
      <c r="ED75" s="57"/>
      <c r="EE75" s="63" t="e">
        <f t="shared" si="263"/>
        <v>#VALUE!</v>
      </c>
      <c r="EF75" s="63" t="e">
        <f>ROUNDUP(5*$CW75*POWER($H75*100,4)/(384*VLOOKUP(VALUE(RIGHT($I75,4)),許容応力!$B$6:$K$22,10)*100*$DH75),2)</f>
        <v>#VALUE!</v>
      </c>
      <c r="EH75" s="63" t="e">
        <f t="shared" si="264"/>
        <v>#VALUE!</v>
      </c>
      <c r="EI75" s="63" t="e">
        <f>ROUNDUP(5*$CX75*POWER($H75*100,4)/(384*VLOOKUP(VALUE(RIGHT($I75,4)),許容応力!$B$6:$K$22,10)*100*$DN75),2)</f>
        <v>#VALUE!</v>
      </c>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row>
    <row r="76" spans="2:187" ht="32.1" customHeight="1" thickBot="1" x14ac:dyDescent="0.2">
      <c r="B76" s="1512" t="s">
        <v>824</v>
      </c>
      <c r="C76" s="575" t="s">
        <v>828</v>
      </c>
      <c r="D76" s="575" t="str">
        <f>+""</f>
        <v/>
      </c>
      <c r="E76" s="590"/>
      <c r="F76" s="572" t="str">
        <f t="shared" si="241"/>
        <v/>
      </c>
      <c r="G76" s="577"/>
      <c r="H76" s="577"/>
      <c r="I76" s="1130"/>
      <c r="J76" s="1134"/>
      <c r="K76" s="568">
        <f t="shared" si="242"/>
        <v>0</v>
      </c>
      <c r="L76" s="251">
        <f t="shared" si="243"/>
        <v>0</v>
      </c>
      <c r="M76" s="254"/>
      <c r="N76" s="226" t="str">
        <f t="shared" si="244"/>
        <v/>
      </c>
      <c r="O76" s="226" t="str">
        <f t="shared" si="245"/>
        <v/>
      </c>
      <c r="P76" s="226" t="str">
        <f t="shared" si="246"/>
        <v/>
      </c>
      <c r="Q76" s="226" t="str">
        <f t="shared" si="247"/>
        <v/>
      </c>
      <c r="R76" s="1539" t="str">
        <f t="shared" si="248"/>
        <v/>
      </c>
      <c r="S76" s="1540"/>
      <c r="T76" s="227">
        <f t="shared" si="249"/>
        <v>0</v>
      </c>
      <c r="U76" s="228">
        <f t="shared" si="250"/>
        <v>0</v>
      </c>
      <c r="V76" s="235"/>
      <c r="W76" s="234"/>
      <c r="X76" s="234"/>
      <c r="Y76" s="234"/>
      <c r="Z76" s="234"/>
      <c r="AA76" s="253"/>
      <c r="AB76" s="234"/>
      <c r="AC76" s="512"/>
      <c r="AD76" s="234"/>
      <c r="AE76" s="234"/>
      <c r="AF76" s="234"/>
      <c r="AG76" s="234"/>
      <c r="AH76" s="234"/>
      <c r="AI76" s="234"/>
      <c r="AJ76" s="234"/>
      <c r="AK76" s="234"/>
      <c r="AL76" s="234"/>
      <c r="AM76" s="234"/>
      <c r="AN76" s="302"/>
      <c r="AO76" s="306"/>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63"/>
      <c r="CT76" s="63"/>
      <c r="CU76" s="63"/>
      <c r="CV76" s="63"/>
      <c r="CW76" s="63" t="e">
        <f>ROUNDUP((準備!$F$57/100/DL76+IF(AND(VALUE(RIGHT($G$3,4))=1,$T$3=2),準備!$D$43/100*F76*1.2,準備!$D$43/100*F76))*G76,2)</f>
        <v>#VALUE!</v>
      </c>
      <c r="CX76" s="63" t="e">
        <f>ROUNDUP((準備!$F$57/100/DL76+IF(AND(VALUE(RIGHT($G$3,4))=1,$T$3=2),準備!$D$44/100*F76*1.2,準備!$D$44/100*F76))*G76,2)</f>
        <v>#VALUE!</v>
      </c>
      <c r="CY76" s="63" t="e">
        <f t="shared" si="251"/>
        <v>#VALUE!</v>
      </c>
      <c r="CZ76" s="63" t="e">
        <f>ROUNDUP(5*$CW76*POWER($H76*100,4)/(384*VLOOKUP(VALUE(RIGHT($I76,4)),許容応力!$B$6:$K$22,10)*100*$DD76),2)</f>
        <v>#VALUE!</v>
      </c>
      <c r="DA76" s="63" t="e">
        <f t="shared" si="252"/>
        <v>#VALUE!</v>
      </c>
      <c r="DB76" s="63" t="e">
        <f>ROUNDUP(5*$CX76*POWER($H76*100,4)/(384*VLOOKUP(VALUE(RIGHT($I76,4)),許容応力!$B$6:$K$22,10)*100*$DD76),2)</f>
        <v>#VALUE!</v>
      </c>
      <c r="DC76" s="63">
        <f>ROUNDDOWN($J76/10*POWER($L76/10,2)/6*0.9,1)</f>
        <v>0</v>
      </c>
      <c r="DD76" s="63">
        <f>ROUNDDOWN($J76*0.9/10*POWER($L76*0.9/10,3)/12,2)</f>
        <v>0</v>
      </c>
      <c r="DE76" s="10" t="e">
        <f>IF($DG$6=2,ROUND(VLOOKUP(DJ76,許容応力!$B$6:$K$22,6)*1.1/3*100,0),ROUND(VLOOKUP(DJ76,許容応力!$B$6:$K$22,6)*1.1/3*1.3*100,0))</f>
        <v>#VALUE!</v>
      </c>
      <c r="DF76" s="63" t="e">
        <f>ROUND(VLOOKUP(DJ76,許容応力!$B$6:$K$22,7)*100*2/3*0.8,0)</f>
        <v>#VALUE!</v>
      </c>
      <c r="DG76" s="63">
        <f t="shared" si="253"/>
        <v>4</v>
      </c>
      <c r="DH76" s="63">
        <f t="shared" si="254"/>
        <v>0</v>
      </c>
      <c r="DI76" s="63"/>
      <c r="DJ76" s="63" t="e">
        <f t="shared" si="255"/>
        <v>#VALUE!</v>
      </c>
      <c r="DK76" s="69">
        <f t="shared" si="256"/>
        <v>0</v>
      </c>
      <c r="DL76" s="70">
        <f t="shared" si="257"/>
        <v>1</v>
      </c>
      <c r="DM76" s="63">
        <f t="shared" si="258"/>
        <v>150</v>
      </c>
      <c r="DN76" s="63">
        <f t="shared" si="259"/>
        <v>0</v>
      </c>
      <c r="DO76" s="63"/>
      <c r="DP76" s="63"/>
      <c r="DQ76" s="63"/>
      <c r="DR76" s="63"/>
      <c r="DS76" s="63" t="e">
        <f t="shared" si="260"/>
        <v>#VALUE!</v>
      </c>
      <c r="DT76" s="63" t="e">
        <f t="shared" si="260"/>
        <v>#VALUE!</v>
      </c>
      <c r="DV76" s="63" t="e">
        <f t="shared" si="261"/>
        <v>#VALUE!</v>
      </c>
      <c r="DW76" s="63" t="e">
        <f t="shared" si="261"/>
        <v>#VALUE!</v>
      </c>
      <c r="DX76" s="155" t="e">
        <f t="shared" si="262"/>
        <v>#VALUE!</v>
      </c>
      <c r="DY76" s="63" t="e">
        <f>ROUND(SQRT(EE76/($J76/10)*6)/0.9*10,1)</f>
        <v>#VALUE!</v>
      </c>
      <c r="DZ76" s="63" t="e">
        <f>POWER(ROUND(EF76/($J76/10)*12,2),1/3)*10/0.9</f>
        <v>#VALUE!</v>
      </c>
      <c r="EB76" s="63" t="e">
        <f>ROUND(SQRT(EH76/($J76/10)*6)/0.9*10,1)</f>
        <v>#VALUE!</v>
      </c>
      <c r="EC76" s="63" t="e">
        <f>POWER(ROUND(EI76/($J76/10)*12,2),1/3)*10/0.9</f>
        <v>#VALUE!</v>
      </c>
      <c r="ED76" s="57"/>
      <c r="EE76" s="63" t="e">
        <f t="shared" si="263"/>
        <v>#VALUE!</v>
      </c>
      <c r="EF76" s="63" t="e">
        <f>ROUNDUP(5*$CW76*POWER($H76*100,4)/(384*VLOOKUP(VALUE(RIGHT($I76,4)),許容応力!$B$6:$K$22,10)*100*$DH76),2)</f>
        <v>#VALUE!</v>
      </c>
      <c r="EH76" s="63" t="e">
        <f t="shared" si="264"/>
        <v>#VALUE!</v>
      </c>
      <c r="EI76" s="63" t="e">
        <f>ROUNDUP(5*$CX76*POWER($H76*100,4)/(384*VLOOKUP(VALUE(RIGHT($I76,4)),許容応力!$B$6:$K$22,10)*100*$DN76),2)</f>
        <v>#VALUE!</v>
      </c>
      <c r="EJ76" s="63"/>
      <c r="EK76" s="63"/>
      <c r="EL76" s="63"/>
      <c r="EM76" s="63"/>
      <c r="EN76" s="63"/>
      <c r="EO76" s="63"/>
      <c r="EP76" s="63"/>
      <c r="EQ76" s="63"/>
      <c r="ER76" s="63"/>
      <c r="ES76" s="63"/>
      <c r="ET76" s="63"/>
      <c r="EU76" s="63"/>
      <c r="EV76" s="63"/>
      <c r="EW76" s="63"/>
      <c r="EX76" s="63"/>
      <c r="EY76" s="63"/>
      <c r="EZ76" s="63"/>
      <c r="FA76" s="63"/>
    </row>
    <row r="77" spans="2:187" ht="32.1" customHeight="1" thickBot="1" x14ac:dyDescent="0.2">
      <c r="B77" s="1512"/>
      <c r="C77" s="561" t="s">
        <v>839</v>
      </c>
      <c r="D77" s="561" t="str">
        <f>+""</f>
        <v/>
      </c>
      <c r="E77" s="582"/>
      <c r="F77" s="560" t="str">
        <f t="shared" si="241"/>
        <v/>
      </c>
      <c r="G77" s="578"/>
      <c r="H77" s="578"/>
      <c r="I77" s="1131"/>
      <c r="J77" s="1135"/>
      <c r="K77" s="586">
        <f t="shared" si="242"/>
        <v>0</v>
      </c>
      <c r="L77" s="255">
        <f t="shared" si="243"/>
        <v>0</v>
      </c>
      <c r="M77" s="256"/>
      <c r="N77" s="257" t="str">
        <f t="shared" si="244"/>
        <v/>
      </c>
      <c r="O77" s="257" t="str">
        <f t="shared" si="245"/>
        <v/>
      </c>
      <c r="P77" s="257" t="str">
        <f t="shared" si="246"/>
        <v/>
      </c>
      <c r="Q77" s="257" t="str">
        <f t="shared" si="247"/>
        <v/>
      </c>
      <c r="R77" s="1545" t="str">
        <f t="shared" si="248"/>
        <v/>
      </c>
      <c r="S77" s="1546"/>
      <c r="T77" s="258">
        <f t="shared" si="249"/>
        <v>0</v>
      </c>
      <c r="U77" s="259">
        <f t="shared" si="250"/>
        <v>0</v>
      </c>
      <c r="V77" s="235"/>
      <c r="W77" s="234"/>
      <c r="X77" s="234"/>
      <c r="Y77" s="234"/>
      <c r="Z77" s="234"/>
      <c r="AA77" s="253"/>
      <c r="AB77" s="234"/>
      <c r="AC77" s="512"/>
      <c r="AD77" s="234"/>
      <c r="AE77" s="234"/>
      <c r="AF77" s="234"/>
      <c r="AG77" s="234"/>
      <c r="AH77" s="234"/>
      <c r="AI77" s="234"/>
      <c r="AJ77" s="234"/>
      <c r="AK77" s="234"/>
      <c r="AL77" s="234"/>
      <c r="AM77" s="234"/>
      <c r="AN77" s="302"/>
      <c r="AO77" s="306"/>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63"/>
      <c r="CT77" s="63"/>
      <c r="CU77" s="63"/>
      <c r="CV77" s="63"/>
      <c r="CW77" s="63" t="e">
        <f>ROUNDUP((準備!$F$57/100/DL77+IF(AND(VALUE(RIGHT($G$3,4))=1,$T$3=2),準備!$D$43/100*F77*1.2,準備!$D$43/100*F77))*G77,2)</f>
        <v>#VALUE!</v>
      </c>
      <c r="CX77" s="63" t="e">
        <f>ROUNDUP((準備!$F$57/100/DL77+IF(AND(VALUE(RIGHT($G$3,4))=1,$T$3=2),準備!$D$44/100*F77*1.2,準備!$D$44/100*F77))*G77,2)</f>
        <v>#VALUE!</v>
      </c>
      <c r="CY77" s="63" t="e">
        <f t="shared" si="251"/>
        <v>#VALUE!</v>
      </c>
      <c r="CZ77" s="63" t="e">
        <f>ROUNDUP(5*$CW77*POWER($H77*100,4)/(384*VLOOKUP(VALUE(RIGHT($I77,4)),許容応力!$B$6:$K$22,10)*100*$DD77),2)</f>
        <v>#VALUE!</v>
      </c>
      <c r="DA77" s="63" t="e">
        <f t="shared" si="252"/>
        <v>#VALUE!</v>
      </c>
      <c r="DB77" s="63" t="e">
        <f>ROUNDUP(5*$CX77*POWER($H77*100,4)/(384*VLOOKUP(VALUE(RIGHT($I77,4)),許容応力!$B$6:$K$22,10)*100*$DD77),2)</f>
        <v>#VALUE!</v>
      </c>
      <c r="DC77" s="63">
        <f>ROUNDDOWN($J77/10*POWER($L77/10,2)/6*0.9,1)</f>
        <v>0</v>
      </c>
      <c r="DD77" s="63">
        <f>ROUNDDOWN($J77*0.9/10*POWER($L77*0.9/10,3)/12,2)</f>
        <v>0</v>
      </c>
      <c r="DE77" s="10" t="e">
        <f>IF($DG$6=2,ROUND(VLOOKUP(DJ77,許容応力!$B$6:$K$22,6)*1.1/3*100,0),ROUND(VLOOKUP(DJ77,許容応力!$B$6:$K$22,6)*1.1/3*1.3*100,0))</f>
        <v>#VALUE!</v>
      </c>
      <c r="DF77" s="63" t="e">
        <f>ROUND(VLOOKUP(DJ77,許容応力!$B$6:$K$22,7)*100*2/3*0.8,0)</f>
        <v>#VALUE!</v>
      </c>
      <c r="DG77" s="63">
        <f t="shared" si="253"/>
        <v>4</v>
      </c>
      <c r="DH77" s="63">
        <f t="shared" si="254"/>
        <v>0</v>
      </c>
      <c r="DI77" s="63"/>
      <c r="DJ77" s="63" t="e">
        <f t="shared" si="255"/>
        <v>#VALUE!</v>
      </c>
      <c r="DK77" s="69">
        <f t="shared" si="256"/>
        <v>0</v>
      </c>
      <c r="DL77" s="70">
        <f t="shared" si="257"/>
        <v>1</v>
      </c>
      <c r="DM77" s="63">
        <f t="shared" si="258"/>
        <v>150</v>
      </c>
      <c r="DN77" s="63">
        <f t="shared" si="259"/>
        <v>0</v>
      </c>
      <c r="DO77" s="63"/>
      <c r="DP77" s="63"/>
      <c r="DQ77" s="63"/>
      <c r="DR77" s="63"/>
      <c r="DS77" s="63" t="e">
        <f t="shared" si="260"/>
        <v>#VALUE!</v>
      </c>
      <c r="DT77" s="63" t="e">
        <f t="shared" si="260"/>
        <v>#VALUE!</v>
      </c>
      <c r="DV77" s="63" t="e">
        <f t="shared" si="261"/>
        <v>#VALUE!</v>
      </c>
      <c r="DW77" s="63" t="e">
        <f t="shared" si="261"/>
        <v>#VALUE!</v>
      </c>
      <c r="DX77" s="155" t="e">
        <f t="shared" si="262"/>
        <v>#VALUE!</v>
      </c>
      <c r="DY77" s="63" t="e">
        <f>ROUND(SQRT(EE77/($J77/10)*6)/0.9*10,1)</f>
        <v>#VALUE!</v>
      </c>
      <c r="DZ77" s="63" t="e">
        <f>POWER(ROUND(EF77/($J77/10)*12,2),1/3)*10/0.9</f>
        <v>#VALUE!</v>
      </c>
      <c r="EB77" s="63" t="e">
        <f>ROUND(SQRT(EH77/($J77/10)*6)/0.9*10,1)</f>
        <v>#VALUE!</v>
      </c>
      <c r="EC77" s="63" t="e">
        <f>POWER(ROUND(EI77/($J77/10)*12,2),1/3)*10/0.9</f>
        <v>#VALUE!</v>
      </c>
      <c r="ED77" s="57"/>
      <c r="EE77" s="63" t="e">
        <f t="shared" si="263"/>
        <v>#VALUE!</v>
      </c>
      <c r="EF77" s="63" t="e">
        <f>ROUNDUP(5*$CW77*POWER($H77*100,4)/(384*VLOOKUP(VALUE(RIGHT($I77,4)),許容応力!$B$6:$K$22,10)*100*$DH77),2)</f>
        <v>#VALUE!</v>
      </c>
      <c r="EH77" s="63" t="e">
        <f t="shared" si="264"/>
        <v>#VALUE!</v>
      </c>
      <c r="EI77" s="63" t="e">
        <f>ROUNDUP(5*$CX77*POWER($H77*100,4)/(384*VLOOKUP(VALUE(RIGHT($I77,4)),許容応力!$B$6:$K$22,10)*100*$DN77),2)</f>
        <v>#VALUE!</v>
      </c>
      <c r="EJ77" s="63"/>
      <c r="EK77" s="63"/>
      <c r="EL77" s="63"/>
      <c r="EM77" s="63"/>
      <c r="EN77" s="63"/>
      <c r="EO77" s="63"/>
      <c r="EP77" s="63"/>
      <c r="EQ77" s="63"/>
      <c r="ER77" s="63"/>
      <c r="ES77" s="63"/>
      <c r="ET77" s="63"/>
      <c r="EU77" s="63"/>
      <c r="EV77" s="63"/>
      <c r="EW77" s="63"/>
      <c r="EX77" s="63"/>
      <c r="EY77" s="63"/>
      <c r="EZ77" s="63"/>
      <c r="FA77" s="63"/>
    </row>
    <row r="78" spans="2:187" ht="32.1" customHeight="1" thickBot="1" x14ac:dyDescent="0.2">
      <c r="B78" s="1512"/>
      <c r="C78" s="565" t="s">
        <v>840</v>
      </c>
      <c r="D78" s="565" t="str">
        <f>+""</f>
        <v/>
      </c>
      <c r="E78" s="584"/>
      <c r="F78" s="260" t="str">
        <f t="shared" si="241"/>
        <v/>
      </c>
      <c r="G78" s="585"/>
      <c r="H78" s="585"/>
      <c r="I78" s="1132"/>
      <c r="J78" s="1136"/>
      <c r="K78" s="459">
        <f t="shared" si="242"/>
        <v>0</v>
      </c>
      <c r="L78" s="252">
        <f t="shared" si="243"/>
        <v>0</v>
      </c>
      <c r="M78" s="224"/>
      <c r="N78" s="229" t="str">
        <f t="shared" si="244"/>
        <v/>
      </c>
      <c r="O78" s="229" t="str">
        <f t="shared" si="245"/>
        <v/>
      </c>
      <c r="P78" s="229" t="str">
        <f t="shared" si="246"/>
        <v/>
      </c>
      <c r="Q78" s="229" t="str">
        <f t="shared" si="247"/>
        <v/>
      </c>
      <c r="R78" s="1547" t="str">
        <f t="shared" si="248"/>
        <v/>
      </c>
      <c r="S78" s="1548"/>
      <c r="T78" s="230">
        <f t="shared" si="249"/>
        <v>0</v>
      </c>
      <c r="U78" s="231">
        <f t="shared" si="250"/>
        <v>0</v>
      </c>
      <c r="V78" s="235"/>
      <c r="W78" s="234"/>
      <c r="X78" s="234"/>
      <c r="Y78" s="234"/>
      <c r="Z78" s="234"/>
      <c r="AA78" s="253"/>
      <c r="AB78" s="234"/>
      <c r="AC78" s="512"/>
      <c r="AD78" s="234"/>
      <c r="AE78" s="234"/>
      <c r="AF78" s="234"/>
      <c r="AG78" s="234"/>
      <c r="AH78" s="234"/>
      <c r="AI78" s="234"/>
      <c r="AJ78" s="234"/>
      <c r="AK78" s="234"/>
      <c r="AL78" s="234"/>
      <c r="AM78" s="234"/>
      <c r="AN78" s="302"/>
      <c r="AO78" s="306"/>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63"/>
      <c r="CT78" s="63"/>
      <c r="CU78" s="63"/>
      <c r="CV78" s="63"/>
      <c r="CW78" s="63" t="e">
        <f>ROUNDUP((準備!$F$57/100/DL78+IF(AND(VALUE(RIGHT($G$3,4))=1,$T$3=2),準備!$D$43/100*F78*1.2,準備!$D$43/100*F78))*G78,2)</f>
        <v>#VALUE!</v>
      </c>
      <c r="CX78" s="63" t="e">
        <f>ROUNDUP((準備!$F$57/100/DL78+IF(AND(VALUE(RIGHT($G$3,4))=1,$T$3=2),準備!$D$44/100*F78*1.2,準備!$D$44/100*F78))*G78,2)</f>
        <v>#VALUE!</v>
      </c>
      <c r="CY78" s="63" t="e">
        <f t="shared" si="251"/>
        <v>#VALUE!</v>
      </c>
      <c r="CZ78" s="63" t="e">
        <f>ROUNDUP(5*$CW78*POWER($H78*100,4)/(384*VLOOKUP(VALUE(RIGHT($I78,4)),許容応力!$B$6:$K$22,10)*100*$DD78),2)</f>
        <v>#VALUE!</v>
      </c>
      <c r="DA78" s="63" t="e">
        <f t="shared" si="252"/>
        <v>#VALUE!</v>
      </c>
      <c r="DB78" s="63" t="e">
        <f>ROUNDUP(5*$CX78*POWER($H78*100,4)/(384*VLOOKUP(VALUE(RIGHT($I78,4)),許容応力!$B$6:$K$22,10)*100*$DD78),2)</f>
        <v>#VALUE!</v>
      </c>
      <c r="DC78" s="63">
        <f>ROUNDDOWN($J78/10*POWER($L78/10,2)/6*0.9,1)</f>
        <v>0</v>
      </c>
      <c r="DD78" s="63">
        <f>ROUNDDOWN($J78*0.9/10*POWER($L78*0.9/10,3)/12,2)</f>
        <v>0</v>
      </c>
      <c r="DE78" s="10" t="e">
        <f>IF($DG$6=2,ROUND(VLOOKUP(DJ78,許容応力!$B$6:$K$22,6)*1.1/3*100,0),ROUND(VLOOKUP(DJ78,許容応力!$B$6:$K$22,6)*1.1/3*1.3*100,0))</f>
        <v>#VALUE!</v>
      </c>
      <c r="DF78" s="63" t="e">
        <f>ROUND(VLOOKUP(DJ78,許容応力!$B$6:$K$22,7)*100*2/3*0.8,0)</f>
        <v>#VALUE!</v>
      </c>
      <c r="DG78" s="63">
        <f t="shared" si="253"/>
        <v>4</v>
      </c>
      <c r="DH78" s="63">
        <f t="shared" si="254"/>
        <v>0</v>
      </c>
      <c r="DI78" s="63"/>
      <c r="DJ78" s="63" t="e">
        <f t="shared" si="255"/>
        <v>#VALUE!</v>
      </c>
      <c r="DK78" s="69">
        <f t="shared" si="256"/>
        <v>0</v>
      </c>
      <c r="DL78" s="70">
        <f t="shared" si="257"/>
        <v>1</v>
      </c>
      <c r="DM78" s="63">
        <f t="shared" si="258"/>
        <v>150</v>
      </c>
      <c r="DN78" s="63">
        <f t="shared" si="259"/>
        <v>0</v>
      </c>
      <c r="DO78" s="63"/>
      <c r="DP78" s="63"/>
      <c r="DQ78" s="63"/>
      <c r="DR78" s="63"/>
      <c r="DS78" s="63" t="e">
        <f t="shared" si="260"/>
        <v>#VALUE!</v>
      </c>
      <c r="DT78" s="63" t="e">
        <f t="shared" si="260"/>
        <v>#VALUE!</v>
      </c>
      <c r="DV78" s="63" t="e">
        <f t="shared" si="261"/>
        <v>#VALUE!</v>
      </c>
      <c r="DW78" s="63" t="e">
        <f t="shared" si="261"/>
        <v>#VALUE!</v>
      </c>
      <c r="DX78" s="155" t="e">
        <f t="shared" si="262"/>
        <v>#VALUE!</v>
      </c>
      <c r="DY78" s="63" t="e">
        <f>ROUND(SQRT(EE78/($J78/10)*6)/0.9*10,1)</f>
        <v>#VALUE!</v>
      </c>
      <c r="DZ78" s="63" t="e">
        <f>POWER(ROUND(EF78/($J78/10)*12,2),1/3)*10/0.9</f>
        <v>#VALUE!</v>
      </c>
      <c r="EB78" s="63" t="e">
        <f>ROUND(SQRT(EH78/($J78/10)*6)/0.9*10,1)</f>
        <v>#VALUE!</v>
      </c>
      <c r="EC78" s="63" t="e">
        <f>POWER(ROUND(EI78/($J78/10)*12,2),1/3)*10/0.9</f>
        <v>#VALUE!</v>
      </c>
      <c r="ED78" s="57"/>
      <c r="EE78" s="63" t="e">
        <f t="shared" si="263"/>
        <v>#VALUE!</v>
      </c>
      <c r="EF78" s="63" t="e">
        <f>ROUNDUP(5*$CW78*POWER($H78*100,4)/(384*VLOOKUP(VALUE(RIGHT($I78,4)),許容応力!$B$6:$K$22,10)*100*$DH78),2)</f>
        <v>#VALUE!</v>
      </c>
      <c r="EH78" s="63" t="e">
        <f t="shared" si="264"/>
        <v>#VALUE!</v>
      </c>
      <c r="EI78" s="63" t="e">
        <f>ROUNDUP(5*$CX78*POWER($H78*100,4)/(384*VLOOKUP(VALUE(RIGHT($I78,4)),許容応力!$B$6:$K$22,10)*100*$DN78),2)</f>
        <v>#VALUE!</v>
      </c>
      <c r="EJ78" s="63"/>
      <c r="EK78" s="63"/>
      <c r="EL78" s="63"/>
      <c r="EM78" s="63"/>
      <c r="EN78" s="63"/>
      <c r="EO78" s="63"/>
      <c r="EP78" s="63"/>
      <c r="EQ78" s="63"/>
      <c r="ER78" s="63"/>
      <c r="ES78" s="63"/>
      <c r="ET78" s="63"/>
      <c r="EU78" s="63"/>
      <c r="EV78" s="63"/>
      <c r="EW78" s="63"/>
      <c r="EX78" s="63"/>
      <c r="EY78" s="63"/>
      <c r="EZ78" s="63"/>
      <c r="FA78" s="63"/>
    </row>
    <row r="79" spans="2:187" ht="15.95" customHeight="1" thickBot="1" x14ac:dyDescent="0.2">
      <c r="B79" s="1512" t="s">
        <v>830</v>
      </c>
      <c r="C79" s="1280" t="s">
        <v>831</v>
      </c>
      <c r="D79" s="273" t="s">
        <v>216</v>
      </c>
      <c r="E79" s="274"/>
      <c r="F79" s="275" t="str">
        <f t="shared" si="241"/>
        <v/>
      </c>
      <c r="G79" s="276"/>
      <c r="H79" s="276"/>
      <c r="I79" s="1133"/>
      <c r="J79" s="1125"/>
      <c r="K79" s="197">
        <f t="shared" si="242"/>
        <v>0</v>
      </c>
      <c r="L79" s="245">
        <f>IF(J79=0,0,+EJ80)</f>
        <v>0</v>
      </c>
      <c r="M79" s="1138" t="s">
        <v>787</v>
      </c>
      <c r="N79" s="203" t="str">
        <f t="shared" si="244"/>
        <v/>
      </c>
      <c r="O79" s="203" t="str">
        <f t="shared" si="245"/>
        <v/>
      </c>
      <c r="P79" s="203" t="str">
        <f t="shared" si="246"/>
        <v/>
      </c>
      <c r="Q79" s="203" t="str">
        <f t="shared" si="247"/>
        <v/>
      </c>
      <c r="R79" s="246" t="str">
        <f t="shared" ref="R79:R86" si="265">IF(N79=+"","",IF(AND(N79&lt;=1,O79&lt;=1,P79&lt;=1,Q79&lt;=1),"OK!","NO!"))</f>
        <v/>
      </c>
      <c r="S79" s="1562" t="str">
        <f>IF(N79=+"","",IF(AND(R79="OK!",R80="OK!"),"OK!","NO!"))</f>
        <v/>
      </c>
      <c r="T79" s="191">
        <f t="shared" si="249"/>
        <v>0</v>
      </c>
      <c r="U79" s="293">
        <f t="shared" si="250"/>
        <v>0</v>
      </c>
      <c r="V79" s="235"/>
      <c r="W79" s="234"/>
      <c r="X79" s="234"/>
      <c r="Y79" s="234"/>
      <c r="Z79" s="234"/>
      <c r="AA79" s="234"/>
      <c r="AB79" s="234"/>
      <c r="AC79" s="594"/>
      <c r="AD79" s="234"/>
      <c r="AE79" s="234"/>
      <c r="AF79" s="234"/>
      <c r="AG79" s="234"/>
      <c r="AH79" s="234"/>
      <c r="AI79" s="234"/>
      <c r="AJ79" s="234"/>
      <c r="AK79" s="234"/>
      <c r="AL79" s="234"/>
      <c r="AM79" s="234"/>
      <c r="AN79" s="302"/>
      <c r="AO79" s="306"/>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63"/>
      <c r="CT79" s="63">
        <f>ROUNDUP(IF(VALUE(RIGHT($G$3,3))=1,CU79*0.7,0),0)</f>
        <v>0</v>
      </c>
      <c r="CU79" s="63" t="e">
        <f>ROUNDUP(IF(VALUE(RIGHT($G$3,4))=1,$I$3*30*F79*100*CV79,$I$3*20*F79*100*CV79),0)</f>
        <v>#VALUE!</v>
      </c>
      <c r="CV79" s="63">
        <f>+DL79*DL79</f>
        <v>1</v>
      </c>
      <c r="CW79" s="63" t="e">
        <f>ROUNDUP((準備!$E$57/100*DL79+IF(AND(VALUE(RIGHT($G$3,4))=1,$T$3=2),準備!$D$43/100*F79*1.2,準備!$D$43/100*F79))*G79,2)</f>
        <v>#VALUE!</v>
      </c>
      <c r="CX79" s="63" t="e">
        <f>ROUNDUP((準備!$E$57/100*DL79+IF(AND(VALUE(RIGHT($G$3,4))=1,$T$3=2),準備!$D$44/100*F79*1.2,準備!$D$44/100*F79))*G79,2)</f>
        <v>#VALUE!</v>
      </c>
      <c r="CY79" s="63" t="e">
        <f t="shared" si="251"/>
        <v>#VALUE!</v>
      </c>
      <c r="CZ79" s="63" t="e">
        <f>ROUNDUP(5*$CW79*POWER($DO79,4)/(384*VLOOKUP(VALUE(RIGHT($I79,4)),許容応力!$V$6:$AE$22,10)*100*$DD79),2)</f>
        <v>#VALUE!</v>
      </c>
      <c r="DA79" s="63" t="e">
        <f>ROUNDUP($CX79*POWER($DO79,2)/8/$DC79,1)</f>
        <v>#VALUE!</v>
      </c>
      <c r="DB79" s="63" t="e">
        <f>ROUNDUP(5*$CX79*POWER($DO79,4)/(384*VLOOKUP(VALUE(RIGHT($I79,4)),許容応力!$V$6:$AE$22,10)*100*$DD79),2)</f>
        <v>#VALUE!</v>
      </c>
      <c r="DC79" s="63">
        <f t="shared" ref="DC79:DC93" si="266">ROUNDDOWN($J79/10*POWER($L79/10,2)/6,1)</f>
        <v>0</v>
      </c>
      <c r="DD79" s="63">
        <f t="shared" ref="DD79:DD93" si="267">ROUNDDOWN($J79/10*POWER($L79/10,3)/12,2)</f>
        <v>0</v>
      </c>
      <c r="DE79" s="10" t="e">
        <f>ROUND(IF($DG$6=2,VLOOKUP(DJ79,許容応力!$V$6:$AE$22,6)*1.1/3*100*VALUE(RIGHT(M79,6)),VLOOKUP(DJ79,許容応力!$V$6:$AE$22,6)*VALUE(RIGHT(M79,6))*1.1/3*1.3*100),0)</f>
        <v>#VALUE!</v>
      </c>
      <c r="DF79" s="63" t="e">
        <f>ROUND(VLOOKUP(DJ79,許容応力!$V$6:$AE$22,7)*100*2/3*0.8*VALUE(RIGHT(M79,6)),0)</f>
        <v>#VALUE!</v>
      </c>
      <c r="DG79" s="63">
        <f>IF($DG$71=2,VLOOKUP(VALUE(RIGHT(C79,4)),$I$610:$L$617,$DG$71+1)*2,VLOOKUP(VALUE(RIGHT(C79,4)),$I$610:$K$617,$DG$71+1))</f>
        <v>2</v>
      </c>
      <c r="DH79" s="63">
        <f t="shared" si="254"/>
        <v>0</v>
      </c>
      <c r="DI79" s="63"/>
      <c r="DJ79" s="63" t="e">
        <f t="shared" si="255"/>
        <v>#VALUE!</v>
      </c>
      <c r="DK79" s="69">
        <f t="shared" si="256"/>
        <v>0</v>
      </c>
      <c r="DL79" s="70">
        <f t="shared" si="257"/>
        <v>1</v>
      </c>
      <c r="DM79" s="63">
        <v>200</v>
      </c>
      <c r="DN79" s="63">
        <f t="shared" si="259"/>
        <v>0</v>
      </c>
      <c r="DO79" s="63">
        <f>ROUNDUP(H79/DL79*100,0)</f>
        <v>0</v>
      </c>
      <c r="DP79" s="63"/>
      <c r="DQ79" s="63"/>
      <c r="DR79" s="63"/>
      <c r="DS79" s="63" t="e">
        <f>IF(DY79&lt;21,21,IF(AND(DY79&gt;21,DY79&lt;=24),24,IF(AND(DY79&gt;30,DY79&lt;=40),40,IF(AND(DY79&gt;40,DY79&lt;=45),45,IF(AND(DY79&gt;60,DY79&lt;=75),75,IF(AND(DY79&gt;90,DY79&lt;=105),105,IF(AND(DY79&gt;120,DY79&lt;=135),135,ROUNDUP(DY79/3,-1)*3)))))))</f>
        <v>#VALUE!</v>
      </c>
      <c r="DT79" s="63" t="e">
        <f>IF(DZ79&lt;21,21,IF(AND(DZ79&gt;21,DZ79&lt;=24),24,IF(AND(DZ79&gt;30,DZ79&lt;=40),40,IF(AND(DZ79&gt;40,DZ79&lt;=45),45,IF(AND(DZ79&gt;60,DZ79&lt;=75),75,IF(AND(DZ79&gt;90,DZ79&lt;=105),105,IF(AND(DZ79&gt;120,DZ79&lt;=135),135,ROUNDUP(DZ79/3,-1)*3)))))))</f>
        <v>#VALUE!</v>
      </c>
      <c r="DV79" s="63" t="e">
        <f>IF(EB79&lt;21,21,IF(AND(EB79&gt;21,EB79&lt;=24),24,IF(AND(EB79&gt;30,EB79&lt;=40),40,IF(AND(EB79&gt;40,EB79&lt;=45),45,IF(AND(EB79&gt;60,EB79&lt;=75),75,IF(AND(EB79&gt;90,EB79&lt;=105),105,IF(AND(EB79&gt;120,EB79&lt;=135),135,ROUNDUP(EB79/3,-1)*3)))))))</f>
        <v>#VALUE!</v>
      </c>
      <c r="DW79" s="63" t="e">
        <f>IF(EC79&lt;21,21,IF(AND(EC79&gt;21,EC79&lt;=24),24,IF(AND(EC79&gt;30,EC79&lt;=40),40,IF(AND(EC79&gt;40,EC79&lt;=45),45,IF(AND(EC79&gt;60,EC79&lt;=75),75,IF(AND(EC79&gt;90,EC79&lt;=105),105,IF(AND(EC79&gt;120,EC79&lt;=135),135,ROUNDUP(EC79/3,-1)*3)))))))</f>
        <v>#VALUE!</v>
      </c>
      <c r="DX79" s="23" t="e">
        <f t="shared" si="262"/>
        <v>#VALUE!</v>
      </c>
      <c r="DY79" s="63" t="e">
        <f>ROUND(SQRT(EE79/($J79/10)*6)*10,1)</f>
        <v>#VALUE!</v>
      </c>
      <c r="DZ79" s="63" t="e">
        <f t="shared" ref="DZ79:DZ86" si="268">POWER(ROUND(EF79/($J79/10)*12,2),1/3)*10</f>
        <v>#VALUE!</v>
      </c>
      <c r="EB79" s="63" t="e">
        <f>ROUND(SQRT(EH79/($J79/10)*6)*10,1)</f>
        <v>#VALUE!</v>
      </c>
      <c r="EC79" s="63" t="e">
        <f t="shared" ref="EC79:EC86" si="269">POWER(ROUND(EI79/($J79/10)*12,2),1/3)*10</f>
        <v>#VALUE!</v>
      </c>
      <c r="ED79" s="57"/>
      <c r="EE79" s="63" t="e">
        <f>ROUNDUP($CW79*$DO79*(POWER($DO79,2)-POWER($DO80,2))/2/$DO79/$DE79,1)</f>
        <v>#VALUE!</v>
      </c>
      <c r="EF79" s="63" t="e">
        <f>ROUNDUP(5*$CW79*POWER($DO79,4)/(384*VLOOKUP(VALUE(RIGHT($I79,4)),許容応力!$V$6:$AE$22,10)*100*$DH79),2)</f>
        <v>#VALUE!</v>
      </c>
      <c r="EH79" s="63" t="e">
        <f>ROUNDUP($CX79*POWER($DO79,2)/8/$DF79,1)</f>
        <v>#VALUE!</v>
      </c>
      <c r="EI79" s="63" t="e">
        <f>ROUNDUP(5*$CX79*POWER($DO79,4)/(384*VLOOKUP(VALUE(RIGHT($I79,4)),許容応力!$V$6:$AE$22,10)*100*$DN79),2)</f>
        <v>#VALUE!</v>
      </c>
      <c r="EJ79" s="63"/>
      <c r="EK79" s="63"/>
      <c r="EL79" s="63"/>
      <c r="EM79" s="63"/>
      <c r="EN79" s="63"/>
      <c r="EO79" s="63"/>
      <c r="EP79" s="63"/>
      <c r="EQ79" s="63"/>
      <c r="ER79" s="63"/>
      <c r="ES79" s="63"/>
      <c r="ET79" s="63"/>
      <c r="EU79" s="63"/>
      <c r="EV79" s="63"/>
      <c r="EW79" s="63"/>
      <c r="EX79" s="63"/>
      <c r="EY79" s="63"/>
      <c r="EZ79" s="63"/>
      <c r="FA79" s="63"/>
    </row>
    <row r="80" spans="2:187" ht="15.95" customHeight="1" thickBot="1" x14ac:dyDescent="0.2">
      <c r="B80" s="1512"/>
      <c r="C80" s="1166"/>
      <c r="D80" s="277" t="s">
        <v>217</v>
      </c>
      <c r="E80" s="278">
        <f>+E79</f>
        <v>0</v>
      </c>
      <c r="F80" s="277" t="str">
        <f>+F79</f>
        <v/>
      </c>
      <c r="G80" s="221">
        <f>+G79</f>
        <v>0</v>
      </c>
      <c r="H80" s="301"/>
      <c r="I80" s="280">
        <f>+I79</f>
        <v>0</v>
      </c>
      <c r="J80" s="281">
        <f>+J79</f>
        <v>0</v>
      </c>
      <c r="K80" s="282">
        <f>+IF(J79=0,0,"×")</f>
        <v>0</v>
      </c>
      <c r="L80" s="239">
        <f>IF(J79=0,0,+EJ80)</f>
        <v>0</v>
      </c>
      <c r="M80" s="1139" t="s">
        <v>787</v>
      </c>
      <c r="N80" s="283" t="str">
        <f>IF(H80=0,"",ROUNDUP(CY80/DE80,2))</f>
        <v/>
      </c>
      <c r="O80" s="283" t="str">
        <f>IF(L79=0,"",ROUND(CZ80/DH80,2))</f>
        <v/>
      </c>
      <c r="P80" s="283" t="str">
        <f>IF(H80=0,"",ROUNDUP(DA80/DF80,2))</f>
        <v/>
      </c>
      <c r="Q80" s="283" t="str">
        <f>IF(L79=0,"",ROUNDUP(DB80/DN80,2))</f>
        <v/>
      </c>
      <c r="R80" s="240" t="str">
        <f t="shared" si="265"/>
        <v/>
      </c>
      <c r="S80" s="1302"/>
      <c r="T80" s="184">
        <f t="shared" si="249"/>
        <v>0</v>
      </c>
      <c r="U80" s="294">
        <f t="shared" si="250"/>
        <v>0</v>
      </c>
      <c r="V80" s="235"/>
      <c r="W80" s="234"/>
      <c r="X80" s="234"/>
      <c r="Y80" s="234"/>
      <c r="Z80" s="234"/>
      <c r="AA80" s="234"/>
      <c r="AB80" s="234"/>
      <c r="AC80" s="594"/>
      <c r="AD80" s="234"/>
      <c r="AE80" s="234"/>
      <c r="AF80" s="234"/>
      <c r="AG80" s="234"/>
      <c r="AH80" s="234"/>
      <c r="AI80" s="234"/>
      <c r="AJ80" s="234"/>
      <c r="AK80" s="234"/>
      <c r="AL80" s="234"/>
      <c r="AM80" s="194"/>
      <c r="AN80" s="302"/>
      <c r="AO80" s="306"/>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63"/>
      <c r="CT80" s="63"/>
      <c r="CU80" s="63"/>
      <c r="CV80" s="63"/>
      <c r="CW80" s="63" t="e">
        <f>ROUNDUP((準備!$E$57/100*DL79+IF(AND(VALUE(RIGHT($G$3,4))=1,$T$3=2),準備!$D$43/100*F79*1.2,準備!$D$43/100*F79))*G80,2)</f>
        <v>#VALUE!</v>
      </c>
      <c r="CX80" s="63" t="e">
        <f>ROUNDUP((準備!$E$57/100*DL79+IF(AND(VALUE(RIGHT($G$3,4))=1,$T$3=2),準備!$D$44/100*F79*1.2,準備!$D$44/100*F79))*G80,2)</f>
        <v>#VALUE!</v>
      </c>
      <c r="CY80" s="63" t="e">
        <f>ROUNDUP($CW80*POWER($DO80,2)/2/$DC80,1)</f>
        <v>#VALUE!</v>
      </c>
      <c r="CZ80" s="63" t="e">
        <f>ROUNDUP((3*$CW80*POWER($DO80,4)+$CW80*$DO80*$DO$79*(4*POWER($DO80,2)-POWER($DO79,2)))/(24*VLOOKUP(VALUE(RIGHT($I80,4)),許容応力!$V$6:$AE$22,10)*100*$DD80),2)</f>
        <v>#VALUE!</v>
      </c>
      <c r="DA80" s="63" t="e">
        <f>ROUNDUP($CX79*POWER($DO80,2)/2/$DC80,1)</f>
        <v>#VALUE!</v>
      </c>
      <c r="DB80" s="63" t="e">
        <f>ROUNDUP((3*$CX80*POWER($DO80,4)+$CX80*$DO80*$DO79*(4*$DO80*$G79*100-$DO79*$G79*100))/(24*VLOOKUP(VALUE(RIGHT($I79,4)),許容応力!$V$6:$AE$22,10)*100*$DD79),2)</f>
        <v>#VALUE!</v>
      </c>
      <c r="DC80" s="63">
        <f t="shared" si="266"/>
        <v>0</v>
      </c>
      <c r="DD80" s="63">
        <f t="shared" si="267"/>
        <v>0</v>
      </c>
      <c r="DE80" s="10" t="e">
        <f>ROUND(IF($DG$6=2,VLOOKUP(DJ80,許容応力!$B$6:$K$22,6)*1.1/3*100*VALUE(RIGHT(M80,6)),VLOOKUP(DJ80,許容応力!$V$6:$AE$22,6)*VALUE(RIGHT(M80,6))*1.1/3*1.3*100),0)</f>
        <v>#VALUE!</v>
      </c>
      <c r="DF80" s="63" t="e">
        <f>ROUND(VLOOKUP(DJ80,許容応力!$V$6:$AE$22,7)*100*2/3*0.8*VALUE(RIGHT(M80,6)),0)</f>
        <v>#VALUE!</v>
      </c>
      <c r="DG80" s="63">
        <v>10</v>
      </c>
      <c r="DH80" s="63">
        <f t="shared" si="254"/>
        <v>0</v>
      </c>
      <c r="DI80" s="63"/>
      <c r="DJ80" s="63" t="e">
        <f>+DJ79</f>
        <v>#VALUE!</v>
      </c>
      <c r="DK80" s="63"/>
      <c r="DL80" s="63"/>
      <c r="DM80" s="63">
        <v>10</v>
      </c>
      <c r="DN80" s="63">
        <f t="shared" si="259"/>
        <v>0</v>
      </c>
      <c r="DO80" s="63">
        <f>ROUNDUP(H80/DL79*100,0)</f>
        <v>0</v>
      </c>
      <c r="DP80" s="63"/>
      <c r="DQ80" s="63"/>
      <c r="DR80" s="63"/>
      <c r="DS80" s="63" t="e">
        <f>IF(DY80&lt;21,21,IF(AND(DY80&gt;21,DY80&lt;=24),24,IF(AND(DY80&gt;30,DY80&lt;=40),40,IF(AND(DY80&gt;40,DY80&lt;=45),45,IF(AND(DY80&gt;60,DY80&lt;=75),75,IF(AND(DY80&gt;90,DY80&lt;=105),105,IF(AND(DY80&gt;120,DY80&lt;=135),135,ROUNDUP(DY80/3,-1)*3)))))))</f>
        <v>#VALUE!</v>
      </c>
      <c r="DT80" s="63" t="e">
        <f>IF(DZ80&lt;21,21,IF(AND(DZ80&gt;21,DZ80&lt;=24),24,IF(AND(DZ80&gt;30,DZ80&lt;=40),40,IF(AND(DZ80&gt;40,DZ80&lt;=45),45,IF(AND(DZ80&gt;60,DZ80&lt;=75),75,IF(AND(DZ80&gt;90,DZ80&lt;=105),105,IF(AND(DZ80&gt;120,DZ80&lt;=135),135,ROUNDUP(DZ80/3,-1)*3)))))))</f>
        <v>#VALUE!</v>
      </c>
      <c r="DV80" s="63" t="e">
        <f>IF(EB80&lt;21,21,IF(AND(EB80&gt;21,EB80&lt;=24),24,IF(AND(EB80&gt;30,EB80&lt;=40),40,IF(AND(EB80&gt;40,EB80&lt;=45),45,IF(AND(EB80&gt;60,EB80&lt;=75),75,IF(AND(EB80&gt;90,EB80&lt;=105),105,IF(AND(EB80&gt;120,EB80&lt;=135),135,ROUNDUP(EB80/3,-1)*3)))))))</f>
        <v>#VALUE!</v>
      </c>
      <c r="DW80" s="63" t="e">
        <f>IF(EC80&lt;21,21,IF(AND(EC80&gt;21,EC80&lt;=24),24,IF(AND(EC80&gt;30,EC80&lt;=40),40,IF(AND(EC80&gt;40,EC80&lt;=45),45,IF(AND(EC80&gt;60,EC80&lt;=75),75,IF(AND(EC80&gt;90,EC80&lt;=105),105,IF(AND(EC80&gt;120,EC80&lt;=135),135,ROUNDUP(EC80/3,-1)*3)))))))</f>
        <v>#VALUE!</v>
      </c>
      <c r="DX80" s="23" t="e">
        <f t="shared" si="262"/>
        <v>#VALUE!</v>
      </c>
      <c r="DY80" s="63" t="e">
        <f>ROUND(SQRT(EE80/($J79/10)*6)*10,1)</f>
        <v>#VALUE!</v>
      </c>
      <c r="DZ80" s="63" t="e">
        <f t="shared" si="268"/>
        <v>#VALUE!</v>
      </c>
      <c r="EB80" s="63" t="e">
        <f>ROUND(SQRT(EH80/($J79/10)*6)*10,1)</f>
        <v>#VALUE!</v>
      </c>
      <c r="EC80" s="63" t="e">
        <f t="shared" si="269"/>
        <v>#VALUE!</v>
      </c>
      <c r="ED80" s="57"/>
      <c r="EE80" s="63" t="e">
        <f>ROUNDUP($CW80*POWER($DO80,2)/2/$DE80,1)</f>
        <v>#VALUE!</v>
      </c>
      <c r="EF80" s="63" t="e">
        <f>ROUNDUP((3*$CW80*POWER($DO80,4)+$CW80*$DO80*$DO79*(4*POWER($DO80,2)-POWER($DO79,2)))/(24*VLOOKUP(VALUE(RIGHT($I80,4)),許容応力!$V$6:$AE$22,10)*100*$DH80),2)</f>
        <v>#VALUE!</v>
      </c>
      <c r="EH80" s="63" t="e">
        <f>ROUNDUP($CX79*POWER($DO80,2)/2/$DF80,1)</f>
        <v>#VALUE!</v>
      </c>
      <c r="EI80" s="63" t="e">
        <f>ROUNDUP((3*$CX80*POWER($DO80,4)+$CX80*$DO80*$DO79*(4*$DO80*$G79*100-$DO$79*$G79*100))/(24*VLOOKUP(VALUE(RIGHT($I79,4)),許容応力!$V$6:$AE$22,10)*100*$DN80),2)</f>
        <v>#VALUE!</v>
      </c>
      <c r="EJ80" s="155" t="e">
        <f>+MAX(DX79,DX80)</f>
        <v>#VALUE!</v>
      </c>
    </row>
    <row r="81" spans="2:170" ht="15.95" customHeight="1" thickBot="1" x14ac:dyDescent="0.2">
      <c r="B81" s="1512"/>
      <c r="C81" s="1166" t="s">
        <v>832</v>
      </c>
      <c r="D81" s="284" t="s">
        <v>216</v>
      </c>
      <c r="E81" s="285"/>
      <c r="F81" s="286" t="str">
        <f>IF(E81=0,"",ROUND(SQRT(COS(DK81*1.5*PI()/180)),3))</f>
        <v/>
      </c>
      <c r="G81" s="287"/>
      <c r="H81" s="287"/>
      <c r="I81" s="1137"/>
      <c r="J81" s="1117"/>
      <c r="K81" s="196">
        <f>+IF(J81=0,0,"×")</f>
        <v>0</v>
      </c>
      <c r="L81" s="241">
        <f>IF(J81=0,0,+EJ82)</f>
        <v>0</v>
      </c>
      <c r="M81" s="1140" t="s">
        <v>787</v>
      </c>
      <c r="N81" s="201" t="str">
        <f>IF(L81=0,"",ROUNDUP(CY81/DE81,2))</f>
        <v/>
      </c>
      <c r="O81" s="201" t="str">
        <f>IF(L81=0,"",ROUND(CZ81/DH81,2))</f>
        <v/>
      </c>
      <c r="P81" s="201" t="str">
        <f>IF(L81=0,"",ROUNDUP(DA81/DF81,2))</f>
        <v/>
      </c>
      <c r="Q81" s="201" t="str">
        <f>IF(L81=0,"",ROUNDUP(DB81/DN81,2))</f>
        <v/>
      </c>
      <c r="R81" s="242" t="str">
        <f t="shared" si="265"/>
        <v/>
      </c>
      <c r="S81" s="1558" t="str">
        <f>IF(N81=+"","",IF(AND(R81="OK!",R82="OK!"),"OK!","NO!"))</f>
        <v/>
      </c>
      <c r="T81" s="186">
        <f t="shared" si="249"/>
        <v>0</v>
      </c>
      <c r="U81" s="295">
        <f t="shared" si="250"/>
        <v>0</v>
      </c>
      <c r="V81" s="235"/>
      <c r="W81" s="234"/>
      <c r="X81" s="234"/>
      <c r="Y81" s="234"/>
      <c r="Z81" s="234"/>
      <c r="AA81" s="234"/>
      <c r="AB81" s="234"/>
      <c r="AC81" s="594"/>
      <c r="AD81" s="234"/>
      <c r="AE81" s="234"/>
      <c r="AF81" s="234"/>
      <c r="AG81" s="234"/>
      <c r="AH81" s="234"/>
      <c r="AI81" s="234"/>
      <c r="AJ81" s="234"/>
      <c r="AK81" s="234"/>
      <c r="AL81" s="234"/>
      <c r="AM81" s="234"/>
      <c r="AN81" s="302"/>
      <c r="AO81" s="306"/>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63"/>
      <c r="CT81" s="63">
        <f>ROUNDUP(IF(VALUE(RIGHT($G$3,3))=1,CU81*0.7,0),0)</f>
        <v>0</v>
      </c>
      <c r="CU81" s="63" t="e">
        <f>ROUNDUP(IF(VALUE(RIGHT($G$3,4))=1,$I$3*30*F81*100*CV81,$I$3*20*F81*100*CV81),0)</f>
        <v>#VALUE!</v>
      </c>
      <c r="CV81" s="63">
        <f>+DL81*DL81</f>
        <v>1</v>
      </c>
      <c r="CW81" s="63" t="e">
        <f>ROUNDUP((準備!$E$57/100*DL81+IF(AND(VALUE(RIGHT($G$3,4))=1,$T$3=2),準備!$D$43/100*F81*1.2,準備!$D$43/100*F81))*G81,2)</f>
        <v>#VALUE!</v>
      </c>
      <c r="CX81" s="63" t="e">
        <f>ROUNDUP((準備!$E$57/100*DL81+IF(AND(VALUE(RIGHT($G$3,4))=1,$T$3=2),準備!$D$44/100*F81*1.2,準備!$D$44/100*F81))*G81,2)</f>
        <v>#VALUE!</v>
      </c>
      <c r="CY81" s="63" t="e">
        <f>ROUNDUP($CW81*POWER($H81*100,2)/8/$DC81,1)</f>
        <v>#VALUE!</v>
      </c>
      <c r="CZ81" s="63" t="e">
        <f>ROUNDUP(5*$CW81*POWER($DO81,4)/(384*VLOOKUP(VALUE(RIGHT($I81,4)),許容応力!$V$6:$AE$22,10)*100*$DD81),2)</f>
        <v>#VALUE!</v>
      </c>
      <c r="DA81" s="63" t="e">
        <f>ROUNDUP($CX81*POWER($DO81,2)/8/$DC81,1)</f>
        <v>#VALUE!</v>
      </c>
      <c r="DB81" s="63" t="e">
        <f>ROUNDUP(5*$CX81*POWER($DO81,4)/(384*VLOOKUP(VALUE(RIGHT($I81,4)),許容応力!$V$6:$AE$22,10)*100*$DD81),2)</f>
        <v>#VALUE!</v>
      </c>
      <c r="DC81" s="63">
        <f t="shared" si="266"/>
        <v>0</v>
      </c>
      <c r="DD81" s="63">
        <f t="shared" si="267"/>
        <v>0</v>
      </c>
      <c r="DE81" s="10" t="e">
        <f>ROUND(IF($DG$6=2,VLOOKUP(DJ81,許容応力!$B$6:$K$22,6)*1.1/3*100*VALUE(RIGHT(M81,6)),VLOOKUP(DJ81,許容応力!$V$6:$AE$22,6)*VALUE(RIGHT(M81,6))*1.1/3*1.3*100),0)</f>
        <v>#VALUE!</v>
      </c>
      <c r="DF81" s="63" t="e">
        <f>ROUND(VLOOKUP(DJ81,許容応力!$V$6:$AE$22,7)*100*2/3*0.8*VALUE(RIGHT(M81,6)),0)</f>
        <v>#VALUE!</v>
      </c>
      <c r="DG81" s="63">
        <f>IF($DG$71=2,VLOOKUP(VALUE(RIGHT(C81,4)),$I$610:$L$617,$DG$71+1)*2,VLOOKUP(VALUE(RIGHT(C81,4)),$I$610:$K$617,$DG$71+1))</f>
        <v>2</v>
      </c>
      <c r="DH81" s="63">
        <f t="shared" si="254"/>
        <v>0</v>
      </c>
      <c r="DI81" s="63"/>
      <c r="DJ81" s="63" t="e">
        <f>+VALUE(RIGHT(I81,3))</f>
        <v>#VALUE!</v>
      </c>
      <c r="DK81" s="69">
        <f>ROUND(ATAN(E81/10)*180/PI(),4)</f>
        <v>0</v>
      </c>
      <c r="DL81" s="70">
        <f>ROUND(COS(DK81*PI()/180),3)</f>
        <v>1</v>
      </c>
      <c r="DM81" s="63">
        <v>200</v>
      </c>
      <c r="DN81" s="63">
        <f t="shared" si="259"/>
        <v>0</v>
      </c>
      <c r="DO81" s="63">
        <f>ROUNDUP(H81/DL81*100,0)</f>
        <v>0</v>
      </c>
      <c r="DP81" s="63"/>
      <c r="DQ81" s="63"/>
      <c r="DR81" s="63"/>
      <c r="DS81" s="63" t="e">
        <f t="shared" ref="DS81:DS86" si="270">IF(DY81&lt;21,21,IF(AND(DY81&gt;21,DY81&lt;=24),24,IF(AND(DY81&gt;30,DY81&lt;=40),40,IF(AND(DY81&gt;40,DY81&lt;=45),45,IF(AND(DY81&gt;60,DY81&lt;=75),75,IF(AND(DY81&gt;90,DY81&lt;=105),105,IF(AND(DY81&gt;120,DY81&lt;=135),135,ROUNDUP(DY81/3,-1)*3)))))))</f>
        <v>#VALUE!</v>
      </c>
      <c r="DT81" s="63" t="e">
        <f t="shared" ref="DT81:DT86" si="271">IF(DZ81&lt;21,21,IF(AND(DZ81&gt;21,DZ81&lt;=24),24,IF(AND(DZ81&gt;30,DZ81&lt;=40),40,IF(AND(DZ81&gt;40,DZ81&lt;=45),45,IF(AND(DZ81&gt;60,DZ81&lt;=75),75,IF(AND(DZ81&gt;90,DZ81&lt;=105),105,IF(AND(DZ81&gt;120,DZ81&lt;=135),135,ROUNDUP(DZ81/3,-1)*3)))))))</f>
        <v>#VALUE!</v>
      </c>
      <c r="DV81" s="63" t="e">
        <f t="shared" ref="DV81:DV86" si="272">IF(EB81&lt;21,21,IF(AND(EB81&gt;21,EB81&lt;=24),24,IF(AND(EB81&gt;30,EB81&lt;=40),40,IF(AND(EB81&gt;40,EB81&lt;=45),45,IF(AND(EB81&gt;60,EB81&lt;=75),75,IF(AND(EB81&gt;90,EB81&lt;=105),105,IF(AND(EB81&gt;120,EB81&lt;=135),135,ROUNDUP(EB81/3,-1)*3)))))))</f>
        <v>#VALUE!</v>
      </c>
      <c r="DW81" s="63" t="e">
        <f t="shared" ref="DW81:DW86" si="273">IF(EC81&lt;21,21,IF(AND(EC81&gt;21,EC81&lt;=24),24,IF(AND(EC81&gt;30,EC81&lt;=40),40,IF(AND(EC81&gt;40,EC81&lt;=45),45,IF(AND(EC81&gt;60,EC81&lt;=75),75,IF(AND(EC81&gt;90,EC81&lt;=105),105,IF(AND(EC81&gt;120,EC81&lt;=135),135,ROUNDUP(EC81/3,-1)*3)))))))</f>
        <v>#VALUE!</v>
      </c>
      <c r="DX81" s="23" t="e">
        <f t="shared" ref="DX81:DX86" si="274">+MAX(DS81:DW81)</f>
        <v>#VALUE!</v>
      </c>
      <c r="DY81" s="63" t="e">
        <f>ROUND(SQRT(EE81/($J81/10)*6)*10,1)</f>
        <v>#VALUE!</v>
      </c>
      <c r="DZ81" s="63" t="e">
        <f t="shared" si="268"/>
        <v>#VALUE!</v>
      </c>
      <c r="EB81" s="63" t="e">
        <f>ROUND(SQRT(EH81/($J81/10)*6)*10,1)</f>
        <v>#VALUE!</v>
      </c>
      <c r="EC81" s="63" t="e">
        <f t="shared" si="269"/>
        <v>#VALUE!</v>
      </c>
      <c r="ED81" s="57"/>
      <c r="EE81" s="63" t="e">
        <f>ROUNDUP($CW81*$DO81*(POWER($DO81,2)-POWER($DO82,2))/2/$DO81/$DE81,1)</f>
        <v>#VALUE!</v>
      </c>
      <c r="EF81" s="63" t="e">
        <f>ROUNDUP(5*$CW81*POWER($DO81,4)/(384*VLOOKUP(VALUE(RIGHT($I81,4)),許容応力!$V$6:$AE$22,10)*100*$DH81),2)</f>
        <v>#VALUE!</v>
      </c>
      <c r="EH81" s="63" t="e">
        <f>ROUNDUP($CX81*POWER($DO81,2)/8/$DF81,1)</f>
        <v>#VALUE!</v>
      </c>
      <c r="EI81" s="63" t="e">
        <f>ROUNDUP(5*$CX81*POWER($DO81,4)/(384*VLOOKUP(VALUE(RIGHT($I81,4)),許容応力!$V$6:$AE$22,10)*100*$DN81),2)</f>
        <v>#VALUE!</v>
      </c>
      <c r="EJ81" s="63"/>
      <c r="EK81" s="63"/>
      <c r="EL81" s="63"/>
      <c r="EM81" s="63"/>
      <c r="EN81" s="63"/>
      <c r="EO81" s="63"/>
      <c r="EP81" s="63"/>
      <c r="EQ81" s="63"/>
      <c r="ER81" s="63"/>
      <c r="ES81" s="63"/>
      <c r="ET81" s="63"/>
      <c r="EU81" s="63"/>
      <c r="EV81" s="63"/>
      <c r="EW81" s="63"/>
      <c r="EX81" s="63"/>
      <c r="EY81" s="63"/>
      <c r="EZ81" s="63"/>
      <c r="FA81" s="63"/>
    </row>
    <row r="82" spans="2:170" ht="15.95" customHeight="1" thickBot="1" x14ac:dyDescent="0.2">
      <c r="B82" s="1512"/>
      <c r="C82" s="1166"/>
      <c r="D82" s="277" t="s">
        <v>217</v>
      </c>
      <c r="E82" s="278">
        <f>+E81</f>
        <v>0</v>
      </c>
      <c r="F82" s="277" t="str">
        <f>+F81</f>
        <v/>
      </c>
      <c r="G82" s="221">
        <f>+G81</f>
        <v>0</v>
      </c>
      <c r="H82" s="301"/>
      <c r="I82" s="280">
        <f>+I81</f>
        <v>0</v>
      </c>
      <c r="J82" s="281">
        <f>+J81</f>
        <v>0</v>
      </c>
      <c r="K82" s="282">
        <f>+IF(J81=0,0,"×")</f>
        <v>0</v>
      </c>
      <c r="L82" s="239">
        <f>IF(J81=0,0,+EJ82)</f>
        <v>0</v>
      </c>
      <c r="M82" s="1139" t="s">
        <v>787</v>
      </c>
      <c r="N82" s="283" t="str">
        <f>IF(H82=0,"",ROUNDUP(CY82/DE82,2))</f>
        <v/>
      </c>
      <c r="O82" s="283" t="str">
        <f>IF(L81=0,"",ROUND(CZ82/DH82,2))</f>
        <v/>
      </c>
      <c r="P82" s="283" t="str">
        <f>IF(H82=0,"",ROUNDUP(DA82/DF82,2))</f>
        <v/>
      </c>
      <c r="Q82" s="283" t="str">
        <f>IF(L81=0,"",ROUNDUP(DB82/DN82,2))</f>
        <v/>
      </c>
      <c r="R82" s="240" t="str">
        <f t="shared" si="265"/>
        <v/>
      </c>
      <c r="S82" s="1302"/>
      <c r="T82" s="184">
        <f t="shared" si="249"/>
        <v>0</v>
      </c>
      <c r="U82" s="294">
        <f t="shared" si="250"/>
        <v>0</v>
      </c>
      <c r="V82" s="235"/>
      <c r="W82" s="234"/>
      <c r="X82" s="234"/>
      <c r="Y82" s="234"/>
      <c r="Z82" s="234"/>
      <c r="AA82" s="234"/>
      <c r="AB82" s="234"/>
      <c r="AC82" s="594"/>
      <c r="AD82" s="234"/>
      <c r="AE82" s="234"/>
      <c r="AF82" s="234"/>
      <c r="AG82" s="234"/>
      <c r="AH82" s="234"/>
      <c r="AI82" s="234"/>
      <c r="AJ82" s="234"/>
      <c r="AK82" s="234"/>
      <c r="AL82" s="234"/>
      <c r="AM82" s="194"/>
      <c r="AN82" s="302"/>
      <c r="AO82" s="306"/>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63"/>
      <c r="CT82" s="63"/>
      <c r="CU82" s="63"/>
      <c r="CV82" s="63"/>
      <c r="CW82" s="63" t="e">
        <f>ROUNDUP((準備!$E$57/100*DL81+IF(AND(VALUE(RIGHT($G$3,4))=1,$T$3=2),準備!$D$43/100*F81*1.2,準備!$D$43/100*F81))*G82,2)</f>
        <v>#VALUE!</v>
      </c>
      <c r="CX82" s="63" t="e">
        <f>ROUNDUP((準備!$E$57/100*DL81+IF(AND(VALUE(RIGHT($G$3,4))=1,$T$3=2),準備!$D$44/100*F81*1.2,準備!$D$44/100*F81))*G82,2)</f>
        <v>#VALUE!</v>
      </c>
      <c r="CY82" s="63" t="e">
        <f>ROUNDUP($CW82*POWER($DO82,2)/2/$DC82,1)</f>
        <v>#VALUE!</v>
      </c>
      <c r="CZ82" s="63" t="e">
        <f>ROUNDUP((3*$CW82*POWER($DO82,4)+$CW82*$DO82*$DO$79*(4*POWER($DO82,2)-POWER($DO81,2)))/(24*VLOOKUP(VALUE(RIGHT($I82,4)),許容応力!$V$6:$AE$22,10)*100*$DD82),2)</f>
        <v>#VALUE!</v>
      </c>
      <c r="DA82" s="63" t="e">
        <f>ROUNDUP($CX81*POWER($DO82,2)/2/$DC82,1)</f>
        <v>#VALUE!</v>
      </c>
      <c r="DB82" s="63" t="e">
        <f>ROUNDUP((3*$CX82*POWER($DO82,4)+$CX82*$DO82*$DO81*(4*$DO82*$G81*100-$DO81*$G81*100))/(24*VLOOKUP(VALUE(RIGHT($I81,4)),許容応力!$V$6:$AE$22,10)*100*$DD81),2)</f>
        <v>#VALUE!</v>
      </c>
      <c r="DC82" s="63">
        <f t="shared" si="266"/>
        <v>0</v>
      </c>
      <c r="DD82" s="63">
        <f t="shared" si="267"/>
        <v>0</v>
      </c>
      <c r="DE82" s="10" t="e">
        <f>ROUND(IF($DG$6=2,VLOOKUP(DJ82,許容応力!$B$6:$K$22,6)*1.1/3*100*VALUE(RIGHT(M82,6)),VLOOKUP(DJ82,許容応力!$V$6:$AE$22,6)*VALUE(RIGHT(M82,6))*1.1/3*1.3*100),0)</f>
        <v>#VALUE!</v>
      </c>
      <c r="DF82" s="63" t="e">
        <f>ROUND(VLOOKUP(DJ82,許容応力!$V$6:$AE$22,7)*100*2/3*0.8*VALUE(RIGHT(M82,6)),0)</f>
        <v>#VALUE!</v>
      </c>
      <c r="DG82" s="63">
        <v>10</v>
      </c>
      <c r="DH82" s="63">
        <f t="shared" si="254"/>
        <v>0</v>
      </c>
      <c r="DI82" s="63"/>
      <c r="DJ82" s="63" t="e">
        <f>+DJ81</f>
        <v>#VALUE!</v>
      </c>
      <c r="DK82" s="63"/>
      <c r="DL82" s="63"/>
      <c r="DM82" s="63">
        <v>10</v>
      </c>
      <c r="DN82" s="63">
        <f t="shared" si="259"/>
        <v>0</v>
      </c>
      <c r="DO82" s="63">
        <f>ROUNDUP(H82/DL81*100,0)</f>
        <v>0</v>
      </c>
      <c r="DP82" s="63"/>
      <c r="DQ82" s="63"/>
      <c r="DR82" s="63"/>
      <c r="DS82" s="63" t="e">
        <f t="shared" si="270"/>
        <v>#VALUE!</v>
      </c>
      <c r="DT82" s="63" t="e">
        <f t="shared" si="271"/>
        <v>#VALUE!</v>
      </c>
      <c r="DV82" s="63" t="e">
        <f t="shared" si="272"/>
        <v>#VALUE!</v>
      </c>
      <c r="DW82" s="63" t="e">
        <f t="shared" si="273"/>
        <v>#VALUE!</v>
      </c>
      <c r="DX82" s="23" t="e">
        <f t="shared" si="274"/>
        <v>#VALUE!</v>
      </c>
      <c r="DY82" s="63" t="e">
        <f>ROUND(SQRT(EE82/($J81/10)*6)*10,1)</f>
        <v>#VALUE!</v>
      </c>
      <c r="DZ82" s="63" t="e">
        <f t="shared" si="268"/>
        <v>#VALUE!</v>
      </c>
      <c r="EB82" s="63" t="e">
        <f>ROUND(SQRT(EH82/($J81/10)*6)*10,1)</f>
        <v>#VALUE!</v>
      </c>
      <c r="EC82" s="63" t="e">
        <f t="shared" si="269"/>
        <v>#VALUE!</v>
      </c>
      <c r="ED82" s="57"/>
      <c r="EE82" s="63" t="e">
        <f>ROUNDUP($CW82*POWER($DO82,2)/2/$DE82,1)</f>
        <v>#VALUE!</v>
      </c>
      <c r="EF82" s="63" t="e">
        <f>ROUNDUP((3*$CW82*POWER($DO82,4)+$CW82*$DO82*$DO81*(4*POWER($DO82,2)-POWER($DO81,2)))/(24*VLOOKUP(VALUE(RIGHT($I82,4)),許容応力!$V$6:$AE$22,10)*100*$DH82),2)</f>
        <v>#VALUE!</v>
      </c>
      <c r="EH82" s="63" t="e">
        <f>ROUNDUP($CX81*POWER($DO82,2)/2/$DF82,1)</f>
        <v>#VALUE!</v>
      </c>
      <c r="EI82" s="63" t="e">
        <f>ROUNDUP((3*$CX82*POWER($DO82,4)+$CX82*$DO82*$DO81*(4*$DO82*$G81*100-$DO$79*$G81*100))/(24*VLOOKUP(VALUE(RIGHT($I81,4)),許容応力!$V$6:$AE$22,10)*100*$DN82),2)</f>
        <v>#VALUE!</v>
      </c>
      <c r="EJ82" s="155" t="e">
        <f>+MAX(DX81,DX82)</f>
        <v>#VALUE!</v>
      </c>
    </row>
    <row r="83" spans="2:170" ht="15.95" customHeight="1" thickBot="1" x14ac:dyDescent="0.2">
      <c r="B83" s="1512"/>
      <c r="C83" s="1166" t="s">
        <v>833</v>
      </c>
      <c r="D83" s="284" t="s">
        <v>216</v>
      </c>
      <c r="E83" s="285"/>
      <c r="F83" s="286" t="str">
        <f>IF(E83=0,"",ROUND(SQRT(COS(DK83*1.5*PI()/180)),3))</f>
        <v/>
      </c>
      <c r="G83" s="287"/>
      <c r="H83" s="287"/>
      <c r="I83" s="1137"/>
      <c r="J83" s="1117"/>
      <c r="K83" s="196">
        <f>+IF(J83=0,0,"×")</f>
        <v>0</v>
      </c>
      <c r="L83" s="241">
        <f>IF(J83=0,0,+EJ84)</f>
        <v>0</v>
      </c>
      <c r="M83" s="1140" t="s">
        <v>787</v>
      </c>
      <c r="N83" s="201" t="str">
        <f>IF(L83=0,"",ROUNDUP(CY83/DE83,2))</f>
        <v/>
      </c>
      <c r="O83" s="201" t="str">
        <f>IF(L83=0,"",ROUND(CZ83/DH83,2))</f>
        <v/>
      </c>
      <c r="P83" s="201" t="str">
        <f>IF(L83=0,"",ROUNDUP(DA83/DF83,2))</f>
        <v/>
      </c>
      <c r="Q83" s="201" t="str">
        <f>IF(L83=0,"",ROUNDUP(DB83/DN83,2))</f>
        <v/>
      </c>
      <c r="R83" s="242" t="str">
        <f t="shared" si="265"/>
        <v/>
      </c>
      <c r="S83" s="1558" t="str">
        <f>IF(N83=+"","",IF(AND(R83="OK!",R84="OK!"),"OK!","NO!"))</f>
        <v/>
      </c>
      <c r="T83" s="186">
        <f t="shared" si="249"/>
        <v>0</v>
      </c>
      <c r="U83" s="295">
        <f t="shared" si="250"/>
        <v>0</v>
      </c>
      <c r="V83" s="235"/>
      <c r="W83" s="234"/>
      <c r="X83" s="234"/>
      <c r="Y83" s="234"/>
      <c r="Z83" s="234"/>
      <c r="AA83" s="234"/>
      <c r="AB83" s="234"/>
      <c r="AC83" s="594"/>
      <c r="AD83" s="234"/>
      <c r="AE83" s="234"/>
      <c r="AF83" s="234"/>
      <c r="AG83" s="234"/>
      <c r="AH83" s="234"/>
      <c r="AI83" s="234"/>
      <c r="AJ83" s="234"/>
      <c r="AK83" s="234"/>
      <c r="AL83" s="234"/>
      <c r="AM83" s="234"/>
      <c r="AN83" s="302"/>
      <c r="AO83" s="306"/>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63"/>
      <c r="CT83" s="63">
        <f>ROUNDUP(IF(VALUE(RIGHT($G$3,3))=1,CU83*0.7,0),0)</f>
        <v>0</v>
      </c>
      <c r="CU83" s="63" t="e">
        <f>ROUNDUP(IF(VALUE(RIGHT($G$3,4))=1,$I$3*30*F83*100*CV83,$I$3*20*F83*100*CV83),0)</f>
        <v>#VALUE!</v>
      </c>
      <c r="CV83" s="63">
        <f>+DL83*DL83</f>
        <v>1</v>
      </c>
      <c r="CW83" s="63" t="e">
        <f>ROUNDUP((準備!$E$57/100*DL83+IF(AND(VALUE(RIGHT($G$3,4))=1,$T$3=2),準備!$D$43/100*F83*1.2,準備!$D$43/100*F83))*G83,2)</f>
        <v>#VALUE!</v>
      </c>
      <c r="CX83" s="63" t="e">
        <f>ROUNDUP((準備!$E$57/100*DL83+IF(AND(VALUE(RIGHT($G$3,4))=1,$T$3=2),準備!$D$44/100*F83*1.2,準備!$D$44/100*F83))*G83,2)</f>
        <v>#VALUE!</v>
      </c>
      <c r="CY83" s="63" t="e">
        <f>ROUNDUP($CW83*POWER($H83*100,2)/8/$DC83,1)</f>
        <v>#VALUE!</v>
      </c>
      <c r="CZ83" s="63" t="e">
        <f>ROUNDUP(5*$CW83*POWER($DO83,4)/(384*VLOOKUP(VALUE(RIGHT($I83,4)),許容応力!$V$6:$AE$22,10)*100*$DD83),2)</f>
        <v>#VALUE!</v>
      </c>
      <c r="DA83" s="63" t="e">
        <f>ROUNDUP($CX83*POWER($DO83,2)/8/$DC83,1)</f>
        <v>#VALUE!</v>
      </c>
      <c r="DB83" s="63" t="e">
        <f>ROUNDUP(5*$CX83*POWER($DO83,4)/(384*VLOOKUP(VALUE(RIGHT($I83,4)),許容応力!$V$6:$AE$22,10)*100*$DD83),2)</f>
        <v>#VALUE!</v>
      </c>
      <c r="DC83" s="63">
        <f t="shared" si="266"/>
        <v>0</v>
      </c>
      <c r="DD83" s="63">
        <f t="shared" si="267"/>
        <v>0</v>
      </c>
      <c r="DE83" s="10" t="e">
        <f>ROUND(IF($DG$6=2,VLOOKUP(DJ83,許容応力!$B$6:$K$22,6)*1.1/3*100*VALUE(RIGHT(M83,6)),VLOOKUP(DJ83,許容応力!$V$6:$AE$22,6)*VALUE(RIGHT(M83,6))*1.1/3*1.3*100),0)</f>
        <v>#VALUE!</v>
      </c>
      <c r="DF83" s="63" t="e">
        <f>ROUND(VLOOKUP(DJ83,許容応力!$V$6:$AE$22,7)*100*2/3*0.8*VALUE(RIGHT(M83,6)),0)</f>
        <v>#VALUE!</v>
      </c>
      <c r="DG83" s="63">
        <f>IF($DG$71=2,VLOOKUP(VALUE(RIGHT(C83,4)),$I$610:$L$617,$DG$71+1)*2,VLOOKUP(VALUE(RIGHT(C83,4)),$I$610:$K$617,$DG$71+1))</f>
        <v>2</v>
      </c>
      <c r="DH83" s="63">
        <f t="shared" si="254"/>
        <v>0</v>
      </c>
      <c r="DI83" s="63"/>
      <c r="DJ83" s="63" t="e">
        <f>+VALUE(RIGHT(I83,3))</f>
        <v>#VALUE!</v>
      </c>
      <c r="DK83" s="69">
        <f>ROUND(ATAN(E83/10)*180/PI(),4)</f>
        <v>0</v>
      </c>
      <c r="DL83" s="70">
        <f>ROUND(COS(DK83*PI()/180),3)</f>
        <v>1</v>
      </c>
      <c r="DM83" s="63">
        <v>200</v>
      </c>
      <c r="DN83" s="63">
        <f t="shared" si="259"/>
        <v>0</v>
      </c>
      <c r="DO83" s="63">
        <f>ROUNDUP(H83/DL83*100,0)</f>
        <v>0</v>
      </c>
      <c r="DP83" s="63"/>
      <c r="DQ83" s="63"/>
      <c r="DR83" s="63"/>
      <c r="DS83" s="63" t="e">
        <f t="shared" si="270"/>
        <v>#VALUE!</v>
      </c>
      <c r="DT83" s="63" t="e">
        <f t="shared" si="271"/>
        <v>#VALUE!</v>
      </c>
      <c r="DV83" s="63" t="e">
        <f t="shared" si="272"/>
        <v>#VALUE!</v>
      </c>
      <c r="DW83" s="63" t="e">
        <f t="shared" si="273"/>
        <v>#VALUE!</v>
      </c>
      <c r="DX83" s="23" t="e">
        <f t="shared" si="274"/>
        <v>#VALUE!</v>
      </c>
      <c r="DY83" s="63" t="e">
        <f>ROUND(SQRT(EE83/($J83/10)*6)*10,1)</f>
        <v>#VALUE!</v>
      </c>
      <c r="DZ83" s="63" t="e">
        <f t="shared" si="268"/>
        <v>#VALUE!</v>
      </c>
      <c r="EB83" s="63" t="e">
        <f>ROUND(SQRT(EH83/($J83/10)*6)*10,1)</f>
        <v>#VALUE!</v>
      </c>
      <c r="EC83" s="63" t="e">
        <f t="shared" si="269"/>
        <v>#VALUE!</v>
      </c>
      <c r="ED83" s="57"/>
      <c r="EE83" s="63" t="e">
        <f>ROUNDUP($CW83*$DO83*(POWER($DO83,2)-POWER($DO84,2))/2/$DO83/$DE83,1)</f>
        <v>#VALUE!</v>
      </c>
      <c r="EF83" s="63" t="e">
        <f>ROUNDUP(5*$CW83*POWER($DO83,4)/(384*VLOOKUP(VALUE(RIGHT($I83,4)),許容応力!$V$6:$AE$22,10)*100*$DH83),2)</f>
        <v>#VALUE!</v>
      </c>
      <c r="EH83" s="63" t="e">
        <f>ROUNDUP($CX83*POWER($DO83,2)/8/$DF83,1)</f>
        <v>#VALUE!</v>
      </c>
      <c r="EI83" s="63" t="e">
        <f>ROUNDUP(5*$CX83*POWER($DO83,4)/(384*VLOOKUP(VALUE(RIGHT($I83,4)),許容応力!$V$6:$AE$22,10)*100*$DN83),2)</f>
        <v>#VALUE!</v>
      </c>
      <c r="EJ83" s="63"/>
      <c r="EK83" s="63"/>
      <c r="EL83" s="63"/>
      <c r="EM83" s="63"/>
      <c r="EN83" s="63"/>
      <c r="EO83" s="63"/>
      <c r="EP83" s="63"/>
      <c r="EQ83" s="63"/>
      <c r="ER83" s="63"/>
      <c r="ES83" s="63"/>
      <c r="ET83" s="63"/>
      <c r="EU83" s="63"/>
      <c r="EV83" s="63"/>
      <c r="EW83" s="63"/>
      <c r="EX83" s="63"/>
      <c r="EY83" s="63"/>
      <c r="EZ83" s="63"/>
      <c r="FA83" s="63"/>
    </row>
    <row r="84" spans="2:170" ht="15.95" customHeight="1" thickBot="1" x14ac:dyDescent="0.2">
      <c r="B84" s="1512"/>
      <c r="C84" s="1166"/>
      <c r="D84" s="277" t="s">
        <v>217</v>
      </c>
      <c r="E84" s="278">
        <f>+E83</f>
        <v>0</v>
      </c>
      <c r="F84" s="277" t="str">
        <f>+F83</f>
        <v/>
      </c>
      <c r="G84" s="221">
        <f>+G83</f>
        <v>0</v>
      </c>
      <c r="H84" s="301"/>
      <c r="I84" s="280">
        <f>+I83</f>
        <v>0</v>
      </c>
      <c r="J84" s="281">
        <f>+J83</f>
        <v>0</v>
      </c>
      <c r="K84" s="282">
        <f>+IF(J83=0,0,"×")</f>
        <v>0</v>
      </c>
      <c r="L84" s="239">
        <f>IF(J83=0,0,+EJ84)</f>
        <v>0</v>
      </c>
      <c r="M84" s="1139" t="s">
        <v>787</v>
      </c>
      <c r="N84" s="283" t="str">
        <f>IF(H84=0,"",ROUNDUP(CY84/DE84,2))</f>
        <v/>
      </c>
      <c r="O84" s="283" t="str">
        <f>IF(L83=0,"",ROUND(CZ84/DH84,2))</f>
        <v/>
      </c>
      <c r="P84" s="283" t="str">
        <f>IF(H84=0,"",ROUNDUP(DA84/DF84,2))</f>
        <v/>
      </c>
      <c r="Q84" s="283" t="str">
        <f>IF(L83=0,"",ROUNDUP(DB84/DN84,2))</f>
        <v/>
      </c>
      <c r="R84" s="240" t="str">
        <f t="shared" si="265"/>
        <v/>
      </c>
      <c r="S84" s="1302"/>
      <c r="T84" s="184">
        <f t="shared" si="249"/>
        <v>0</v>
      </c>
      <c r="U84" s="294">
        <f t="shared" si="250"/>
        <v>0</v>
      </c>
      <c r="V84" s="235"/>
      <c r="W84" s="234"/>
      <c r="X84" s="234"/>
      <c r="Y84" s="234"/>
      <c r="Z84" s="234"/>
      <c r="AA84" s="234"/>
      <c r="AB84" s="234"/>
      <c r="AC84" s="594"/>
      <c r="AD84" s="234"/>
      <c r="AE84" s="234"/>
      <c r="AF84" s="234"/>
      <c r="AG84" s="234"/>
      <c r="AH84" s="234"/>
      <c r="AI84" s="234"/>
      <c r="AJ84" s="234"/>
      <c r="AK84" s="234"/>
      <c r="AL84" s="234"/>
      <c r="AM84" s="194"/>
      <c r="AN84" s="302"/>
      <c r="AO84" s="306"/>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63"/>
      <c r="CT84" s="63"/>
      <c r="CU84" s="63"/>
      <c r="CV84" s="63"/>
      <c r="CW84" s="63" t="e">
        <f>ROUNDUP((準備!$E$57/100*DL83+IF(AND(VALUE(RIGHT($G$3,4))=1,$T$3=2),準備!$D$43/100*F83*1.2,準備!$D$43/100*F83))*G84,2)</f>
        <v>#VALUE!</v>
      </c>
      <c r="CX84" s="63" t="e">
        <f>ROUNDUP((準備!$E$57/100*DL83+IF(AND(VALUE(RIGHT($G$3,4))=1,$T$3=2),準備!$D$44/100*F83*1.2,準備!$D$44/100*F83))*G84,2)</f>
        <v>#VALUE!</v>
      </c>
      <c r="CY84" s="63" t="e">
        <f>ROUNDUP($CW84*POWER($DO84,2)/2/$DC84,1)</f>
        <v>#VALUE!</v>
      </c>
      <c r="CZ84" s="63" t="e">
        <f>ROUNDUP((3*$CW84*POWER($DO84,4)+$CW84*$DO84*$DO$79*(4*POWER($DO84,2)-POWER($DO83,2)))/(24*VLOOKUP(VALUE(RIGHT($I84,4)),許容応力!$V$6:$AE$22,10)*100*$DD84),2)</f>
        <v>#VALUE!</v>
      </c>
      <c r="DA84" s="63" t="e">
        <f>ROUNDUP($CX83*POWER($DO84,2)/2/$DC84,1)</f>
        <v>#VALUE!</v>
      </c>
      <c r="DB84" s="63" t="e">
        <f>ROUNDUP((3*$CX84*POWER($DO84,4)+$CX84*$DO84*$DO83*(4*$DO84*$G83*100-$DO83*$G83*100))/(24*VLOOKUP(VALUE(RIGHT($I83,4)),許容応力!$V$6:$AE$22,10)*100*$DD83),2)</f>
        <v>#VALUE!</v>
      </c>
      <c r="DC84" s="63">
        <f t="shared" si="266"/>
        <v>0</v>
      </c>
      <c r="DD84" s="63">
        <f t="shared" si="267"/>
        <v>0</v>
      </c>
      <c r="DE84" s="10" t="e">
        <f>ROUND(IF($DG$6=2,VLOOKUP(DJ84,許容応力!$B$6:$K$22,6)*1.1/3*100*VALUE(RIGHT(M84,6)),VLOOKUP(DJ84,許容応力!$V$6:$AE$22,6)*VALUE(RIGHT(M84,6))*1.1/3*1.3*100),0)</f>
        <v>#VALUE!</v>
      </c>
      <c r="DF84" s="63" t="e">
        <f>ROUND(VLOOKUP(DJ84,許容応力!$V$6:$AE$22,7)*100*2/3*0.8*VALUE(RIGHT(M84,6)),0)</f>
        <v>#VALUE!</v>
      </c>
      <c r="DG84" s="63">
        <v>10</v>
      </c>
      <c r="DH84" s="63">
        <f t="shared" si="254"/>
        <v>0</v>
      </c>
      <c r="DI84" s="63"/>
      <c r="DJ84" s="63" t="e">
        <f>+DJ83</f>
        <v>#VALUE!</v>
      </c>
      <c r="DK84" s="63"/>
      <c r="DL84" s="63"/>
      <c r="DM84" s="63">
        <v>10</v>
      </c>
      <c r="DN84" s="63">
        <f t="shared" si="259"/>
        <v>0</v>
      </c>
      <c r="DO84" s="63">
        <f>ROUNDUP(H84/DL83*100,0)</f>
        <v>0</v>
      </c>
      <c r="DP84" s="63"/>
      <c r="DQ84" s="63"/>
      <c r="DR84" s="63"/>
      <c r="DS84" s="63" t="e">
        <f t="shared" si="270"/>
        <v>#VALUE!</v>
      </c>
      <c r="DT84" s="63" t="e">
        <f t="shared" si="271"/>
        <v>#VALUE!</v>
      </c>
      <c r="DV84" s="63" t="e">
        <f t="shared" si="272"/>
        <v>#VALUE!</v>
      </c>
      <c r="DW84" s="63" t="e">
        <f t="shared" si="273"/>
        <v>#VALUE!</v>
      </c>
      <c r="DX84" s="23" t="e">
        <f t="shared" si="274"/>
        <v>#VALUE!</v>
      </c>
      <c r="DY84" s="63" t="e">
        <f>ROUND(SQRT(EE84/($J83/10)*6)*10,1)</f>
        <v>#VALUE!</v>
      </c>
      <c r="DZ84" s="63" t="e">
        <f t="shared" si="268"/>
        <v>#VALUE!</v>
      </c>
      <c r="EB84" s="63" t="e">
        <f>ROUND(SQRT(EH84/($J83/10)*6)*10,1)</f>
        <v>#VALUE!</v>
      </c>
      <c r="EC84" s="63" t="e">
        <f t="shared" si="269"/>
        <v>#VALUE!</v>
      </c>
      <c r="ED84" s="57"/>
      <c r="EE84" s="63" t="e">
        <f>ROUNDUP($CW84*POWER($DO84,2)/2/$DE84,1)</f>
        <v>#VALUE!</v>
      </c>
      <c r="EF84" s="63" t="e">
        <f>ROUNDUP((3*$CW84*POWER($DO84,4)+$CW84*$DO84*$DO83*(4*POWER($DO84,2)-POWER($DO83,2)))/(24*VLOOKUP(VALUE(RIGHT($I84,4)),許容応力!$V$6:$AE$22,10)*100*$DH84),2)</f>
        <v>#VALUE!</v>
      </c>
      <c r="EH84" s="63" t="e">
        <f>ROUNDUP($CX83*POWER($DO84,2)/2/$DF84,1)</f>
        <v>#VALUE!</v>
      </c>
      <c r="EI84" s="63" t="e">
        <f>ROUNDUP((3*$CX84*POWER($DO84,4)+$CX84*$DO84*$DO83*(4*$DO84*$G83*100-$DO$79*$G83*100))/(24*VLOOKUP(VALUE(RIGHT($I83,4)),許容応力!$V$6:$AE$22,10)*100*$DN84),2)</f>
        <v>#VALUE!</v>
      </c>
      <c r="EJ84" s="155" t="e">
        <f>+MAX(DX83,DX84)</f>
        <v>#VALUE!</v>
      </c>
    </row>
    <row r="85" spans="2:170" ht="15.95" customHeight="1" thickBot="1" x14ac:dyDescent="0.2">
      <c r="B85" s="1512"/>
      <c r="C85" s="1166" t="s">
        <v>834</v>
      </c>
      <c r="D85" s="284" t="s">
        <v>216</v>
      </c>
      <c r="E85" s="285"/>
      <c r="F85" s="286" t="str">
        <f>IF(E85=0,"",ROUND(SQRT(COS(DK85*1.5*PI()/180)),3))</f>
        <v/>
      </c>
      <c r="G85" s="287"/>
      <c r="H85" s="287"/>
      <c r="I85" s="1137"/>
      <c r="J85" s="1117"/>
      <c r="K85" s="196">
        <f>+IF(J85=0,0,"×")</f>
        <v>0</v>
      </c>
      <c r="L85" s="241">
        <f>IF(J85=0,0,+EJ86)</f>
        <v>0</v>
      </c>
      <c r="M85" s="1140" t="s">
        <v>787</v>
      </c>
      <c r="N85" s="201" t="str">
        <f>IF(L85=0,"",ROUNDUP(CY85/DE85,2))</f>
        <v/>
      </c>
      <c r="O85" s="201" t="str">
        <f>IF(L85=0,"",ROUND(CZ85/DH85,2))</f>
        <v/>
      </c>
      <c r="P85" s="201" t="str">
        <f>IF(L85=0,"",ROUNDUP(DA85/DF85,2))</f>
        <v/>
      </c>
      <c r="Q85" s="201" t="str">
        <f>IF(L85=0,"",ROUNDUP(DB85/DN85,2))</f>
        <v/>
      </c>
      <c r="R85" s="242" t="str">
        <f t="shared" si="265"/>
        <v/>
      </c>
      <c r="S85" s="1558" t="str">
        <f>IF(N85=+"","",IF(AND(R85="OK!",R86="OK!"),"OK!","NO!"))</f>
        <v/>
      </c>
      <c r="T85" s="186">
        <f t="shared" si="249"/>
        <v>0</v>
      </c>
      <c r="U85" s="295">
        <f t="shared" si="250"/>
        <v>0</v>
      </c>
      <c r="V85" s="235"/>
      <c r="W85" s="234"/>
      <c r="X85" s="234"/>
      <c r="Y85" s="234"/>
      <c r="Z85" s="234"/>
      <c r="AA85" s="234"/>
      <c r="AB85" s="234"/>
      <c r="AC85" s="594"/>
      <c r="AD85" s="234"/>
      <c r="AE85" s="234"/>
      <c r="AF85" s="234"/>
      <c r="AG85" s="234"/>
      <c r="AH85" s="234"/>
      <c r="AI85" s="234"/>
      <c r="AJ85" s="234"/>
      <c r="AK85" s="234"/>
      <c r="AL85" s="234"/>
      <c r="AM85" s="234"/>
      <c r="AN85" s="302"/>
      <c r="AO85" s="306"/>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63"/>
      <c r="CT85" s="63">
        <f>ROUNDUP(IF(VALUE(RIGHT($G$3,3))=1,CU85*0.7,0),0)</f>
        <v>0</v>
      </c>
      <c r="CU85" s="63" t="e">
        <f>ROUNDUP(IF(VALUE(RIGHT($G$3,4))=1,$I$3*30*F85*100*CV85,$I$3*20*F85*100*CV85),0)</f>
        <v>#VALUE!</v>
      </c>
      <c r="CV85" s="63">
        <f>+DL85*DL85</f>
        <v>1</v>
      </c>
      <c r="CW85" s="63" t="e">
        <f>ROUNDUP((準備!$E$57/100*DL85+IF(AND(VALUE(RIGHT($G$3,4))=1,$T$3=2),準備!$D$43/100*F85*1.2,準備!$D$43/100*F85))*G85,2)</f>
        <v>#VALUE!</v>
      </c>
      <c r="CX85" s="63" t="e">
        <f>ROUNDUP((準備!$E$57/100*DL85+IF(AND(VALUE(RIGHT($G$3,4))=1,$T$3=2),準備!$D$44/100*F85*1.2,準備!$D$44/100*F85))*G85,2)</f>
        <v>#VALUE!</v>
      </c>
      <c r="CY85" s="63" t="e">
        <f>ROUNDUP($CW85*POWER($H85*100,2)/8/$DC85,1)</f>
        <v>#VALUE!</v>
      </c>
      <c r="CZ85" s="63" t="e">
        <f>ROUNDUP(5*$CW85*POWER($DO85,4)/(384*VLOOKUP(VALUE(RIGHT($I85,4)),許容応力!$V$6:$AE$22,10)*100*$DD85),2)</f>
        <v>#VALUE!</v>
      </c>
      <c r="DA85" s="63" t="e">
        <f>ROUNDUP($CX85*POWER($DO85,2)/8/$DC85,1)</f>
        <v>#VALUE!</v>
      </c>
      <c r="DB85" s="63" t="e">
        <f>ROUNDUP(5*$CX85*POWER($DO85,4)/(384*VLOOKUP(VALUE(RIGHT($I85,4)),許容応力!$V$6:$AE$22,10)*100*$DD85),2)</f>
        <v>#VALUE!</v>
      </c>
      <c r="DC85" s="63">
        <f t="shared" si="266"/>
        <v>0</v>
      </c>
      <c r="DD85" s="63">
        <f t="shared" si="267"/>
        <v>0</v>
      </c>
      <c r="DE85" s="10" t="e">
        <f>ROUND(IF($DG$6=2,VLOOKUP(DJ85,許容応力!$B$6:$K$22,6)*1.1/3*100*VALUE(RIGHT(M85,6)),VLOOKUP(DJ85,許容応力!$V$6:$AE$22,6)*VALUE(RIGHT(M85,6))*1.1/3*1.3*100),0)</f>
        <v>#VALUE!</v>
      </c>
      <c r="DF85" s="63" t="e">
        <f>ROUND(VLOOKUP(DJ85,許容応力!$V$6:$AE$22,7)*100*2/3*0.8*VALUE(RIGHT(M85,6)),0)</f>
        <v>#VALUE!</v>
      </c>
      <c r="DG85" s="63">
        <f>IF($DG$71=2,VLOOKUP(VALUE(RIGHT(C85,4)),$I$610:$L$617,$DG$71+1)*2,VLOOKUP(VALUE(RIGHT(C85,4)),$I$610:$K$617,$DG$71+1))</f>
        <v>2</v>
      </c>
      <c r="DH85" s="63">
        <f t="shared" si="254"/>
        <v>0</v>
      </c>
      <c r="DI85" s="63"/>
      <c r="DJ85" s="63" t="e">
        <f>+VALUE(RIGHT(I85,3))</f>
        <v>#VALUE!</v>
      </c>
      <c r="DK85" s="69">
        <f>ROUND(ATAN(E85/10)*180/PI(),4)</f>
        <v>0</v>
      </c>
      <c r="DL85" s="70">
        <f>ROUND(COS(DK85*PI()/180),3)</f>
        <v>1</v>
      </c>
      <c r="DM85" s="63">
        <v>200</v>
      </c>
      <c r="DN85" s="63">
        <f t="shared" si="259"/>
        <v>0</v>
      </c>
      <c r="DO85" s="63">
        <f>ROUNDUP(H85/DL85*100,0)</f>
        <v>0</v>
      </c>
      <c r="DP85" s="63"/>
      <c r="DQ85" s="63"/>
      <c r="DR85" s="63"/>
      <c r="DS85" s="63" t="e">
        <f t="shared" si="270"/>
        <v>#VALUE!</v>
      </c>
      <c r="DT85" s="63" t="e">
        <f t="shared" si="271"/>
        <v>#VALUE!</v>
      </c>
      <c r="DV85" s="63" t="e">
        <f t="shared" si="272"/>
        <v>#VALUE!</v>
      </c>
      <c r="DW85" s="63" t="e">
        <f t="shared" si="273"/>
        <v>#VALUE!</v>
      </c>
      <c r="DX85" s="23" t="e">
        <f t="shared" si="274"/>
        <v>#VALUE!</v>
      </c>
      <c r="DY85" s="63" t="e">
        <f>ROUND(SQRT(EE85/($J85/10)*6)*10,1)</f>
        <v>#VALUE!</v>
      </c>
      <c r="DZ85" s="63" t="e">
        <f t="shared" si="268"/>
        <v>#VALUE!</v>
      </c>
      <c r="EB85" s="63" t="e">
        <f>ROUND(SQRT(EH85/($J85/10)*6)*10,1)</f>
        <v>#VALUE!</v>
      </c>
      <c r="EC85" s="63" t="e">
        <f t="shared" si="269"/>
        <v>#VALUE!</v>
      </c>
      <c r="ED85" s="57"/>
      <c r="EE85" s="63" t="e">
        <f>ROUNDUP($CW85*$DO85*(POWER($DO85,2)-POWER($DO86,2))/2/$DO85/$DE85,1)</f>
        <v>#VALUE!</v>
      </c>
      <c r="EF85" s="63" t="e">
        <f>ROUNDUP(5*$CW85*POWER($DO85,4)/(384*VLOOKUP(VALUE(RIGHT($I85,4)),許容応力!$V$6:$AE$22,10)*100*$DH85),2)</f>
        <v>#VALUE!</v>
      </c>
      <c r="EH85" s="63" t="e">
        <f>ROUNDUP($CX85*POWER($DO85,2)/8/$DF85,1)</f>
        <v>#VALUE!</v>
      </c>
      <c r="EI85" s="63" t="e">
        <f>ROUNDUP(5*$CX85*POWER($DO85,4)/(384*VLOOKUP(VALUE(RIGHT($I85,4)),許容応力!$V$6:$AE$22,10)*100*$DN85),2)</f>
        <v>#VALUE!</v>
      </c>
      <c r="EJ85" s="63"/>
      <c r="EK85" s="63"/>
      <c r="EL85" s="63"/>
      <c r="EM85" s="63"/>
      <c r="EN85" s="63"/>
      <c r="EO85" s="63"/>
      <c r="EP85" s="63"/>
      <c r="EQ85" s="63"/>
      <c r="ER85" s="63"/>
      <c r="ES85" s="63"/>
      <c r="ET85" s="63"/>
      <c r="EU85" s="63"/>
      <c r="EV85" s="63"/>
      <c r="EW85" s="63"/>
      <c r="EX85" s="63"/>
      <c r="EY85" s="63"/>
      <c r="EZ85" s="63"/>
      <c r="FA85" s="63"/>
    </row>
    <row r="86" spans="2:170" ht="15.95" customHeight="1" thickBot="1" x14ac:dyDescent="0.2">
      <c r="B86" s="1512"/>
      <c r="C86" s="1224"/>
      <c r="D86" s="288" t="s">
        <v>217</v>
      </c>
      <c r="E86" s="661">
        <f>+E85</f>
        <v>0</v>
      </c>
      <c r="F86" s="288" t="str">
        <f>+F85</f>
        <v/>
      </c>
      <c r="G86" s="220">
        <f>+G85</f>
        <v>0</v>
      </c>
      <c r="H86" s="1113"/>
      <c r="I86" s="289">
        <f>+I85</f>
        <v>0</v>
      </c>
      <c r="J86" s="290">
        <f>+J85</f>
        <v>0</v>
      </c>
      <c r="K86" s="291">
        <f>+IF(J85=0,0,"×")</f>
        <v>0</v>
      </c>
      <c r="L86" s="243">
        <f>IF(J85=0,0,+EJ86)</f>
        <v>0</v>
      </c>
      <c r="M86" s="1141" t="s">
        <v>787</v>
      </c>
      <c r="N86" s="292" t="str">
        <f>IF(H86=0,"",ROUNDUP(CY86/DE86,2))</f>
        <v/>
      </c>
      <c r="O86" s="292" t="str">
        <f>IF(L85=0,"",ROUND(CZ86/DH86,2))</f>
        <v/>
      </c>
      <c r="P86" s="292" t="str">
        <f>IF(H86=0,"",ROUNDUP(DA86/DF86,2))</f>
        <v/>
      </c>
      <c r="Q86" s="292" t="str">
        <f>IF(L85=0,"",ROUNDUP(DB86/DN86,2))</f>
        <v/>
      </c>
      <c r="R86" s="244" t="str">
        <f t="shared" si="265"/>
        <v/>
      </c>
      <c r="S86" s="1559"/>
      <c r="T86" s="184">
        <f t="shared" si="249"/>
        <v>0</v>
      </c>
      <c r="U86" s="294">
        <f t="shared" si="250"/>
        <v>0</v>
      </c>
      <c r="V86" s="235"/>
      <c r="W86" s="234"/>
      <c r="X86" s="234"/>
      <c r="Y86" s="234"/>
      <c r="Z86" s="234"/>
      <c r="AA86" s="234"/>
      <c r="AB86" s="234"/>
      <c r="AC86" s="594"/>
      <c r="AD86" s="234"/>
      <c r="AE86" s="234"/>
      <c r="AF86" s="234"/>
      <c r="AG86" s="234"/>
      <c r="AH86" s="234"/>
      <c r="AI86" s="234"/>
      <c r="AJ86" s="234"/>
      <c r="AK86" s="234"/>
      <c r="AL86" s="234"/>
      <c r="AM86" s="194"/>
      <c r="AN86" s="302"/>
      <c r="AO86" s="306"/>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63"/>
      <c r="CT86" s="63"/>
      <c r="CU86" s="63"/>
      <c r="CV86" s="63"/>
      <c r="CW86" s="63" t="e">
        <f>ROUNDUP((準備!$E$57/100*DL85+IF(AND(VALUE(RIGHT($G$3,4))=1,$T$3=2),準備!$D$43/100*F85*1.2,準備!$D$43/100*F85))*G86,2)</f>
        <v>#VALUE!</v>
      </c>
      <c r="CX86" s="63" t="e">
        <f>ROUNDUP((準備!$E$57/100*DL85+IF(AND(VALUE(RIGHT($G$3,4))=1,$T$3=2),準備!$D$44/100*F85*1.2,準備!$D$44/100*F85))*G86,2)</f>
        <v>#VALUE!</v>
      </c>
      <c r="CY86" s="63" t="e">
        <f>ROUNDUP($CW86*POWER($DO86,2)/2/$DC86,1)</f>
        <v>#VALUE!</v>
      </c>
      <c r="CZ86" s="63" t="e">
        <f>ROUNDUP((3*$CW86*POWER($DO86,4)+$CW86*$DO86*$DO$79*(4*POWER($DO86,2)-POWER($DO85,2)))/(24*VLOOKUP(VALUE(RIGHT($I86,4)),許容応力!$V$6:$AE$22,10)*100*$DD86),2)</f>
        <v>#VALUE!</v>
      </c>
      <c r="DA86" s="63" t="e">
        <f>ROUNDUP($CX85*POWER($DO86,2)/2/$DC86,1)</f>
        <v>#VALUE!</v>
      </c>
      <c r="DB86" s="63" t="e">
        <f>ROUNDUP((3*$CX86*POWER($DO86,4)+$CX86*$DO86*$DO85*(4*$DO86*$G85*100-$DO85*$G85*100))/(24*VLOOKUP(VALUE(RIGHT($I85,4)),許容応力!$V$6:$AE$22,10)*100*$DD85),2)</f>
        <v>#VALUE!</v>
      </c>
      <c r="DC86" s="63">
        <f t="shared" si="266"/>
        <v>0</v>
      </c>
      <c r="DD86" s="63">
        <f t="shared" si="267"/>
        <v>0</v>
      </c>
      <c r="DE86" s="10" t="e">
        <f>ROUND(IF($DG$6=2,VLOOKUP(DJ86,許容応力!$B$6:$K$22,6)*1.1/3*100*VALUE(RIGHT(M86,6)),VLOOKUP(DJ86,許容応力!$V$6:$AE$22,6)*VALUE(RIGHT(M86,6))*1.1/3*1.3*100),0)</f>
        <v>#VALUE!</v>
      </c>
      <c r="DF86" s="63" t="e">
        <f>ROUND(VLOOKUP(DJ86,許容応力!$V$6:$AE$22,7)*100*2/3*0.8*VALUE(RIGHT(M86,6)),0)</f>
        <v>#VALUE!</v>
      </c>
      <c r="DG86" s="63">
        <v>10</v>
      </c>
      <c r="DH86" s="63">
        <f t="shared" si="254"/>
        <v>0</v>
      </c>
      <c r="DI86" s="63"/>
      <c r="DJ86" s="63" t="e">
        <f>+DJ85</f>
        <v>#VALUE!</v>
      </c>
      <c r="DK86" s="63"/>
      <c r="DL86" s="63"/>
      <c r="DM86" s="63">
        <v>10</v>
      </c>
      <c r="DN86" s="63">
        <f t="shared" si="259"/>
        <v>0</v>
      </c>
      <c r="DO86" s="63">
        <f>ROUNDUP(H86/DL85*100,0)</f>
        <v>0</v>
      </c>
      <c r="DP86" s="63"/>
      <c r="DQ86" s="63"/>
      <c r="DR86" s="63"/>
      <c r="DS86" s="63" t="e">
        <f t="shared" si="270"/>
        <v>#VALUE!</v>
      </c>
      <c r="DT86" s="63" t="e">
        <f t="shared" si="271"/>
        <v>#VALUE!</v>
      </c>
      <c r="DV86" s="63" t="e">
        <f t="shared" si="272"/>
        <v>#VALUE!</v>
      </c>
      <c r="DW86" s="63" t="e">
        <f t="shared" si="273"/>
        <v>#VALUE!</v>
      </c>
      <c r="DX86" s="23" t="e">
        <f t="shared" si="274"/>
        <v>#VALUE!</v>
      </c>
      <c r="DY86" s="63" t="e">
        <f>ROUND(SQRT(EE86/($J85/10)*6)*10,1)</f>
        <v>#VALUE!</v>
      </c>
      <c r="DZ86" s="63" t="e">
        <f t="shared" si="268"/>
        <v>#VALUE!</v>
      </c>
      <c r="EB86" s="63" t="e">
        <f>ROUND(SQRT(EH86/($J85/10)*6)*10,1)</f>
        <v>#VALUE!</v>
      </c>
      <c r="EC86" s="63" t="e">
        <f t="shared" si="269"/>
        <v>#VALUE!</v>
      </c>
      <c r="ED86" s="57"/>
      <c r="EE86" s="63" t="e">
        <f>ROUNDUP($CW86*POWER($DO86,2)/2/$DE86,1)</f>
        <v>#VALUE!</v>
      </c>
      <c r="EF86" s="63" t="e">
        <f>ROUNDUP((3*$CW86*POWER($DO86,4)+$CW86*$DO86*$DO85*(4*POWER($DO86,2)-POWER($DO85,2)))/(24*VLOOKUP(VALUE(RIGHT($I86,4)),許容応力!$V$6:$AE$22,10)*100*$DH86),2)</f>
        <v>#VALUE!</v>
      </c>
      <c r="EH86" s="63" t="e">
        <f>ROUNDUP($CX85*POWER($DO86,2)/2/$DF86,1)</f>
        <v>#VALUE!</v>
      </c>
      <c r="EI86" s="63" t="e">
        <f>ROUNDUP((3*$CX86*POWER($DO86,4)+$CX86*$DO86*$DO85*(4*$DO86*$G85*100-$DO$79*$G85*100))/(24*VLOOKUP(VALUE(RIGHT($I85,4)),許容応力!$V$6:$AE$22,10)*100*$DN86),2)</f>
        <v>#VALUE!</v>
      </c>
      <c r="EJ86" s="155" t="e">
        <f>+MAX(DX85,DX86)</f>
        <v>#VALUE!</v>
      </c>
    </row>
    <row r="87" spans="2:170" ht="32.1" customHeight="1" thickBot="1" x14ac:dyDescent="0.2">
      <c r="B87" s="1512" t="s">
        <v>825</v>
      </c>
      <c r="C87" s="575" t="s">
        <v>829</v>
      </c>
      <c r="D87" s="561" t="str">
        <f>+""</f>
        <v/>
      </c>
      <c r="E87" s="261"/>
      <c r="F87" s="262"/>
      <c r="G87" s="577"/>
      <c r="H87" s="577"/>
      <c r="I87" s="1130"/>
      <c r="J87" s="1134"/>
      <c r="K87" s="568">
        <f t="shared" ref="K87:K93" si="275">+IF(J87=0,0,"×")</f>
        <v>0</v>
      </c>
      <c r="L87" s="251">
        <f t="shared" ref="L87:L93" si="276">IF(J87=0,0,+DX87)</f>
        <v>0</v>
      </c>
      <c r="M87" s="1142" t="s">
        <v>787</v>
      </c>
      <c r="N87" s="226" t="str">
        <f t="shared" ref="N87:N93" si="277">IF(L87=0,"",ROUNDUP(CY87/DE87,2))</f>
        <v/>
      </c>
      <c r="O87" s="226" t="str">
        <f t="shared" ref="O87:O93" si="278">IF(L87=0,"",ROUND(CZ87/DH87,2))</f>
        <v/>
      </c>
      <c r="P87" s="263"/>
      <c r="Q87" s="264"/>
      <c r="R87" s="1539" t="str">
        <f>IF(N87=+"","",IF(AND(N87&lt;=1,O87&lt;=1),"OK!","NO!"))</f>
        <v/>
      </c>
      <c r="S87" s="1540"/>
      <c r="T87" s="227">
        <f t="shared" si="249"/>
        <v>0</v>
      </c>
      <c r="U87" s="228">
        <f t="shared" si="250"/>
        <v>0</v>
      </c>
      <c r="V87" s="235"/>
      <c r="W87" s="234"/>
      <c r="X87" s="234"/>
      <c r="Y87" s="234"/>
      <c r="Z87" s="234"/>
      <c r="AA87" s="234"/>
      <c r="AB87" s="234"/>
      <c r="AC87" s="594"/>
      <c r="AD87" s="234"/>
      <c r="AE87" s="234"/>
      <c r="AF87" s="234"/>
      <c r="AG87" s="234"/>
      <c r="AH87" s="234"/>
      <c r="AI87" s="234"/>
      <c r="AJ87" s="234"/>
      <c r="AK87" s="234"/>
      <c r="AL87" s="234"/>
      <c r="AM87" s="194"/>
      <c r="AN87" s="302"/>
      <c r="AO87" s="306"/>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63"/>
      <c r="CT87" s="63">
        <f t="shared" ref="CT87:CT93" si="279">ROUNDUP(IF(VALUE(RIGHT($G$3,3))=1,CU87*0.7,0),0)</f>
        <v>0</v>
      </c>
      <c r="CU87" s="63">
        <f t="shared" ref="CU87:CU93" si="280">ROUNDUP(IF(VALUE(RIGHT($G$3,4))=1,$I$3*30*100,$I$3*20*100),0)</f>
        <v>0</v>
      </c>
      <c r="CV87" s="63">
        <v>600</v>
      </c>
      <c r="CW87" s="63" t="e">
        <f>ROUNDUP((準備!$E$60/100+準備!$C$48/100)*G87,2)</f>
        <v>#N/A</v>
      </c>
      <c r="CX87" s="63"/>
      <c r="CY87" s="63" t="e">
        <f t="shared" ref="CY87:CY93" si="281">ROUNDUP($CW87*POWER($H87*100,2)/8/$DC87,1)</f>
        <v>#N/A</v>
      </c>
      <c r="CZ87" s="63" t="e">
        <f>ROUNDUP(5*$DP87*POWER($H87*100,4)/(384*VLOOKUP(VALUE(RIGHT($I87,4)),許容応力!$V$6:$AE$22,10)*100*0.5*$DD87),2)</f>
        <v>#VALUE!</v>
      </c>
      <c r="DA87" s="63"/>
      <c r="DB87" s="63"/>
      <c r="DC87" s="63">
        <f t="shared" si="266"/>
        <v>0</v>
      </c>
      <c r="DD87" s="63">
        <f t="shared" si="267"/>
        <v>0</v>
      </c>
      <c r="DE87" s="10" t="e">
        <f>ROUND(VLOOKUP(DJ87,許容応力!$V$6:$AE$22,6)*VALUE(RIGHT(M87,6))*1.1/3*100,0)</f>
        <v>#VALUE!</v>
      </c>
      <c r="DF87" s="63" t="e">
        <f>ROUND(VLOOKUP(DJ87,許容応力!$V$6:$AE$22,7)*100*2/3*0.8*VALUE(RIGHT(M87,6)),0)</f>
        <v>#VALUE!</v>
      </c>
      <c r="DG87" s="63">
        <v>600</v>
      </c>
      <c r="DH87" s="63">
        <f t="shared" si="254"/>
        <v>0</v>
      </c>
      <c r="DI87" s="63"/>
      <c r="DJ87" s="63" t="e">
        <f t="shared" ref="DJ87:DJ93" si="282">+VALUE(RIGHT(I87,3))</f>
        <v>#VALUE!</v>
      </c>
      <c r="DK87" s="69">
        <f>ROUND(ATAN(E87/10)*180/PI(),4)</f>
        <v>0</v>
      </c>
      <c r="DL87" s="70">
        <f t="shared" ref="DL87:DL93" si="283">ROUND(COS(DK87*PI()/180),3)</f>
        <v>1</v>
      </c>
      <c r="DM87" s="63">
        <f>VLOOKUP(VALUE(RIGHT(C87,4)),$I$610:$L$617,4)</f>
        <v>0</v>
      </c>
      <c r="DN87" s="63" t="e">
        <f t="shared" si="259"/>
        <v>#DIV/0!</v>
      </c>
      <c r="DO87" s="63"/>
      <c r="DP87" s="63">
        <f>ROUNDUP((準備!$E$60/100+CV87/100)*G87,2)</f>
        <v>0</v>
      </c>
      <c r="DQ87" s="63"/>
      <c r="DR87" s="63"/>
      <c r="DS87" s="63" t="e">
        <f t="shared" ref="DS87:DT93" si="284">IF(DY87&lt;21,21,IF(AND(DY87&gt;21,DY87&lt;=24),24,IF(AND(DY87&gt;30,DY87&lt;=40),40,IF(AND(DY87&gt;40,DY87&lt;=45),45,IF(AND(DY87&gt;60,DY87&lt;=75),75,IF(AND(DY87&gt;90,DY87&lt;=105),105,IF(AND(DY87&gt;120,DY87&lt;=135),135,ROUNDUP(DY87/3,-1)*3)))))))</f>
        <v>#N/A</v>
      </c>
      <c r="DT87" s="63" t="e">
        <f t="shared" si="284"/>
        <v>#VALUE!</v>
      </c>
      <c r="DX87" s="155" t="e">
        <f t="shared" ref="DX87:DX93" si="285">+MAX(DS87:DW87)</f>
        <v>#N/A</v>
      </c>
      <c r="DY87" s="63" t="e">
        <f>ROUND(SQRT(EB87/($J87/10)*6)*10,1)</f>
        <v>#N/A</v>
      </c>
      <c r="DZ87" s="63" t="e">
        <f>POWER(ROUND(EC87/($J87/10)*12,2),1/3)*10</f>
        <v>#VALUE!</v>
      </c>
      <c r="EA87" s="57"/>
      <c r="EB87" s="63" t="e">
        <f>ROUNDUP($CW87*POWER($H87*100,2)/8/$DE87,1)</f>
        <v>#N/A</v>
      </c>
      <c r="EC87" s="63" t="e">
        <f>ROUNDUP(5*$DP87*POWER($H87*100,4)/(384*VLOOKUP(VALUE(RIGHT($I87,4)),許容応力!$V$6:$AE$22,10)*100*0.5*$DH87),2)</f>
        <v>#VALUE!</v>
      </c>
      <c r="ED87" s="57"/>
      <c r="EE87" s="57"/>
      <c r="EF87" s="57"/>
      <c r="EG87" s="57"/>
      <c r="EH87" s="57"/>
      <c r="EI87" s="57"/>
    </row>
    <row r="88" spans="2:170" ht="32.1" customHeight="1" thickBot="1" x14ac:dyDescent="0.2">
      <c r="B88" s="1512"/>
      <c r="C88" s="561" t="s">
        <v>841</v>
      </c>
      <c r="D88" s="561" t="str">
        <f>+""</f>
        <v/>
      </c>
      <c r="E88" s="265"/>
      <c r="F88" s="266"/>
      <c r="G88" s="578"/>
      <c r="H88" s="578"/>
      <c r="I88" s="1131"/>
      <c r="J88" s="1135"/>
      <c r="K88" s="586">
        <f t="shared" si="275"/>
        <v>0</v>
      </c>
      <c r="L88" s="255">
        <f t="shared" si="276"/>
        <v>0</v>
      </c>
      <c r="M88" s="1143" t="s">
        <v>787</v>
      </c>
      <c r="N88" s="257" t="str">
        <f t="shared" si="277"/>
        <v/>
      </c>
      <c r="O88" s="257" t="str">
        <f t="shared" si="278"/>
        <v/>
      </c>
      <c r="P88" s="267"/>
      <c r="Q88" s="268"/>
      <c r="R88" s="1545" t="str">
        <f>IF(N88=+"","",IF(AND(N88&lt;=1,O88&lt;=1),"OK!","NO!"))</f>
        <v/>
      </c>
      <c r="S88" s="1546"/>
      <c r="T88" s="258">
        <f t="shared" si="249"/>
        <v>0</v>
      </c>
      <c r="U88" s="259">
        <f t="shared" si="250"/>
        <v>0</v>
      </c>
      <c r="V88" s="235"/>
      <c r="W88" s="234"/>
      <c r="X88" s="234"/>
      <c r="Y88" s="234"/>
      <c r="Z88" s="234"/>
      <c r="AA88" s="234"/>
      <c r="AB88" s="234"/>
      <c r="AC88" s="594"/>
      <c r="AD88" s="234"/>
      <c r="AE88" s="234"/>
      <c r="AF88" s="234"/>
      <c r="AG88" s="234"/>
      <c r="AH88" s="234"/>
      <c r="AI88" s="234"/>
      <c r="AJ88" s="234"/>
      <c r="AK88" s="234"/>
      <c r="AL88" s="234"/>
      <c r="AM88" s="194"/>
      <c r="AN88" s="302"/>
      <c r="AO88" s="306"/>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63"/>
      <c r="CT88" s="63">
        <f t="shared" si="279"/>
        <v>0</v>
      </c>
      <c r="CU88" s="63">
        <f t="shared" si="280"/>
        <v>0</v>
      </c>
      <c r="CV88" s="63">
        <v>600</v>
      </c>
      <c r="CW88" s="63" t="e">
        <f>ROUNDUP((準備!$E$60/100+準備!$C$48/100)*G88,2)</f>
        <v>#N/A</v>
      </c>
      <c r="CX88" s="63"/>
      <c r="CY88" s="63" t="e">
        <f t="shared" si="281"/>
        <v>#N/A</v>
      </c>
      <c r="CZ88" s="63" t="e">
        <f>ROUNDUP(5*$DP88*POWER($H88*100,4)/(384*VLOOKUP(VALUE(RIGHT($I88,4)),許容応力!$V$6:$AE$22,10)*100*0.5*$DD88),2)</f>
        <v>#VALUE!</v>
      </c>
      <c r="DA88" s="63"/>
      <c r="DB88" s="63"/>
      <c r="DC88" s="63">
        <f t="shared" si="266"/>
        <v>0</v>
      </c>
      <c r="DD88" s="63">
        <f t="shared" si="267"/>
        <v>0</v>
      </c>
      <c r="DE88" s="10" t="e">
        <f>ROUND(VLOOKUP(DJ88,許容応力!$V$6:$AE$22,6)*VALUE(RIGHT(M88,6))*1.1/3*100,0)</f>
        <v>#VALUE!</v>
      </c>
      <c r="DF88" s="63" t="e">
        <f>ROUND(VLOOKUP(DJ88,許容応力!$V$6:$AE$22,7)*100*2/3*0.8*VALUE(RIGHT(M88,6)),0)</f>
        <v>#VALUE!</v>
      </c>
      <c r="DG88" s="63">
        <v>600</v>
      </c>
      <c r="DH88" s="63">
        <f t="shared" si="254"/>
        <v>0</v>
      </c>
      <c r="DI88" s="63"/>
      <c r="DJ88" s="63" t="e">
        <f t="shared" si="282"/>
        <v>#VALUE!</v>
      </c>
      <c r="DK88" s="69">
        <f>ROUND(ATAN(E88/10)*180/PI(),4)</f>
        <v>0</v>
      </c>
      <c r="DL88" s="70">
        <f t="shared" si="283"/>
        <v>1</v>
      </c>
      <c r="DM88" s="63">
        <f>VLOOKUP(VALUE(RIGHT(C88,4)),$I$610:$L$617,4)</f>
        <v>0</v>
      </c>
      <c r="DN88" s="63" t="e">
        <f t="shared" si="259"/>
        <v>#DIV/0!</v>
      </c>
      <c r="DO88" s="63"/>
      <c r="DP88" s="63">
        <f>ROUNDUP((準備!$E$60/100+CV88/100)*G88,2)</f>
        <v>0</v>
      </c>
      <c r="DQ88" s="63"/>
      <c r="DR88" s="63"/>
      <c r="DS88" s="63" t="e">
        <f t="shared" si="284"/>
        <v>#N/A</v>
      </c>
      <c r="DT88" s="63" t="e">
        <f t="shared" si="284"/>
        <v>#VALUE!</v>
      </c>
      <c r="DX88" s="155" t="e">
        <f t="shared" si="285"/>
        <v>#N/A</v>
      </c>
      <c r="DY88" s="63" t="e">
        <f>ROUND(SQRT(EB88/($J88/10)*6)*10,1)</f>
        <v>#N/A</v>
      </c>
      <c r="DZ88" s="63" t="e">
        <f>POWER(ROUND(EC88/($J88/10)*12,2),1/3)*10</f>
        <v>#VALUE!</v>
      </c>
      <c r="EA88" s="57"/>
      <c r="EB88" s="63" t="e">
        <f>ROUNDUP($CW88*POWER($H88*100,2)/8/$DE88,1)</f>
        <v>#N/A</v>
      </c>
      <c r="EC88" s="63" t="e">
        <f>ROUNDUP(5*$DP88*POWER($H88*100,4)/(384*VLOOKUP(VALUE(RIGHT($I88,4)),許容応力!$V$6:$AE$22,10)*100*0.5*$DH88),2)</f>
        <v>#VALUE!</v>
      </c>
      <c r="ED88" s="57"/>
      <c r="EE88" s="57"/>
      <c r="EF88" s="57"/>
      <c r="EG88" s="57"/>
      <c r="EH88" s="57"/>
      <c r="EI88" s="57"/>
    </row>
    <row r="89" spans="2:170" ht="32.1" customHeight="1" thickBot="1" x14ac:dyDescent="0.2">
      <c r="B89" s="1512"/>
      <c r="C89" s="561" t="s">
        <v>842</v>
      </c>
      <c r="D89" s="561" t="str">
        <f>+""</f>
        <v/>
      </c>
      <c r="E89" s="265"/>
      <c r="F89" s="266"/>
      <c r="G89" s="578"/>
      <c r="H89" s="578"/>
      <c r="I89" s="1131"/>
      <c r="J89" s="1135"/>
      <c r="K89" s="586">
        <f t="shared" si="275"/>
        <v>0</v>
      </c>
      <c r="L89" s="255">
        <f t="shared" si="276"/>
        <v>0</v>
      </c>
      <c r="M89" s="1143" t="s">
        <v>787</v>
      </c>
      <c r="N89" s="257" t="str">
        <f t="shared" si="277"/>
        <v/>
      </c>
      <c r="O89" s="257" t="str">
        <f t="shared" si="278"/>
        <v/>
      </c>
      <c r="P89" s="267"/>
      <c r="Q89" s="268"/>
      <c r="R89" s="1545" t="str">
        <f>IF(N89=+"","",IF(AND(N89&lt;=1,O89&lt;=1),"OK!","NO!"))</f>
        <v/>
      </c>
      <c r="S89" s="1546"/>
      <c r="T89" s="258">
        <f t="shared" si="249"/>
        <v>0</v>
      </c>
      <c r="U89" s="259">
        <f t="shared" si="250"/>
        <v>0</v>
      </c>
      <c r="V89" s="235"/>
      <c r="W89" s="234"/>
      <c r="X89" s="234"/>
      <c r="Y89" s="234"/>
      <c r="Z89" s="234"/>
      <c r="AA89" s="234"/>
      <c r="AB89" s="234"/>
      <c r="AC89" s="594"/>
      <c r="AD89" s="234"/>
      <c r="AE89" s="234"/>
      <c r="AF89" s="234"/>
      <c r="AG89" s="234"/>
      <c r="AH89" s="234"/>
      <c r="AI89" s="234"/>
      <c r="AJ89" s="234"/>
      <c r="AK89" s="234"/>
      <c r="AL89" s="234"/>
      <c r="AM89" s="194"/>
      <c r="AN89" s="302"/>
      <c r="AO89" s="306"/>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63"/>
      <c r="CT89" s="63">
        <f t="shared" si="279"/>
        <v>0</v>
      </c>
      <c r="CU89" s="63">
        <f t="shared" si="280"/>
        <v>0</v>
      </c>
      <c r="CV89" s="63">
        <v>600</v>
      </c>
      <c r="CW89" s="63" t="e">
        <f>ROUNDUP((準備!$E$60/100+準備!$C$48/100)*G89,2)</f>
        <v>#N/A</v>
      </c>
      <c r="CX89" s="63"/>
      <c r="CY89" s="63" t="e">
        <f t="shared" si="281"/>
        <v>#N/A</v>
      </c>
      <c r="CZ89" s="63" t="e">
        <f>ROUNDUP(5*$DP89*POWER($H89*100,4)/(384*VLOOKUP(VALUE(RIGHT($I89,4)),許容応力!$V$6:$AE$22,10)*100*0.5*$DD89),2)</f>
        <v>#VALUE!</v>
      </c>
      <c r="DA89" s="63"/>
      <c r="DB89" s="63"/>
      <c r="DC89" s="63">
        <f t="shared" si="266"/>
        <v>0</v>
      </c>
      <c r="DD89" s="63">
        <f t="shared" si="267"/>
        <v>0</v>
      </c>
      <c r="DE89" s="10" t="e">
        <f>ROUND(VLOOKUP(DJ89,許容応力!$V$6:$AE$22,6)*VALUE(RIGHT(M89,6))*1.1/3*100,0)</f>
        <v>#VALUE!</v>
      </c>
      <c r="DF89" s="63" t="e">
        <f>ROUND(VLOOKUP(DJ89,許容応力!$V$6:$AE$22,7)*100*2/3*0.8*VALUE(RIGHT(M89,6)),0)</f>
        <v>#VALUE!</v>
      </c>
      <c r="DG89" s="63">
        <v>600</v>
      </c>
      <c r="DH89" s="63">
        <f t="shared" si="254"/>
        <v>0</v>
      </c>
      <c r="DI89" s="63"/>
      <c r="DJ89" s="63" t="e">
        <f t="shared" si="282"/>
        <v>#VALUE!</v>
      </c>
      <c r="DK89" s="69">
        <f>ROUND(ATAN(E89/10)*180/PI(),4)</f>
        <v>0</v>
      </c>
      <c r="DL89" s="70">
        <f t="shared" si="283"/>
        <v>1</v>
      </c>
      <c r="DM89" s="63">
        <f>VLOOKUP(VALUE(RIGHT(C89,4)),$I$610:$L$617,4)</f>
        <v>0</v>
      </c>
      <c r="DN89" s="63" t="e">
        <f t="shared" si="259"/>
        <v>#DIV/0!</v>
      </c>
      <c r="DO89" s="63"/>
      <c r="DP89" s="63">
        <f>ROUNDUP((準備!$E$60/100+CV89/100)*G89,2)</f>
        <v>0</v>
      </c>
      <c r="DQ89" s="63"/>
      <c r="DR89" s="63"/>
      <c r="DS89" s="63" t="e">
        <f t="shared" si="284"/>
        <v>#N/A</v>
      </c>
      <c r="DT89" s="63" t="e">
        <f t="shared" si="284"/>
        <v>#VALUE!</v>
      </c>
      <c r="DX89" s="155" t="e">
        <f t="shared" si="285"/>
        <v>#N/A</v>
      </c>
      <c r="DY89" s="63" t="e">
        <f>ROUND(SQRT(EB89/($J89/10)*6)*10,1)</f>
        <v>#N/A</v>
      </c>
      <c r="DZ89" s="63" t="e">
        <f>POWER(ROUND(EC89/($J89/10)*12,2),1/3)*10</f>
        <v>#VALUE!</v>
      </c>
      <c r="EA89" s="57"/>
      <c r="EB89" s="63" t="e">
        <f>ROUNDUP($CW89*POWER($H89*100,2)/8/$DE89,1)</f>
        <v>#N/A</v>
      </c>
      <c r="EC89" s="63" t="e">
        <f>ROUNDUP(5*$DP89*POWER($H89*100,4)/(384*VLOOKUP(VALUE(RIGHT($I89,4)),許容応力!$V$6:$AE$22,10)*100*0.5*$DH89),2)</f>
        <v>#VALUE!</v>
      </c>
      <c r="ED89" s="57"/>
      <c r="EE89" s="57"/>
      <c r="EF89" s="57"/>
      <c r="EG89" s="57"/>
      <c r="EH89" s="57"/>
      <c r="EI89" s="57"/>
    </row>
    <row r="90" spans="2:170" ht="32.1" customHeight="1" thickBot="1" x14ac:dyDescent="0.2">
      <c r="B90" s="1512"/>
      <c r="C90" s="565" t="s">
        <v>843</v>
      </c>
      <c r="D90" s="561" t="str">
        <f>+""</f>
        <v/>
      </c>
      <c r="E90" s="269"/>
      <c r="F90" s="270"/>
      <c r="G90" s="585">
        <v>0.36</v>
      </c>
      <c r="H90" s="585">
        <v>1</v>
      </c>
      <c r="I90" s="1132" t="s">
        <v>24</v>
      </c>
      <c r="J90" s="1136">
        <v>60</v>
      </c>
      <c r="K90" s="459" t="str">
        <f t="shared" si="275"/>
        <v>×</v>
      </c>
      <c r="L90" s="252" t="e">
        <f t="shared" si="276"/>
        <v>#N/A</v>
      </c>
      <c r="M90" s="1144" t="s">
        <v>787</v>
      </c>
      <c r="N90" s="229" t="e">
        <f t="shared" si="277"/>
        <v>#N/A</v>
      </c>
      <c r="O90" s="229" t="e">
        <f t="shared" si="278"/>
        <v>#N/A</v>
      </c>
      <c r="P90" s="271"/>
      <c r="Q90" s="272"/>
      <c r="R90" s="1547" t="e">
        <f>IF(N90=+"","",IF(AND(N90&lt;=1,O90&lt;=1),"OK!","NO!"))</f>
        <v>#N/A</v>
      </c>
      <c r="S90" s="1548"/>
      <c r="T90" s="230" t="str">
        <f t="shared" si="249"/>
        <v>1/</v>
      </c>
      <c r="U90" s="231">
        <f t="shared" si="250"/>
        <v>600</v>
      </c>
      <c r="V90" s="235"/>
      <c r="W90" s="234"/>
      <c r="X90" s="234"/>
      <c r="Y90" s="234"/>
      <c r="Z90" s="234"/>
      <c r="AA90" s="234"/>
      <c r="AB90" s="234"/>
      <c r="AC90" s="594"/>
      <c r="AD90" s="234"/>
      <c r="AE90" s="234"/>
      <c r="AF90" s="234"/>
      <c r="AG90" s="234"/>
      <c r="AH90" s="234"/>
      <c r="AI90" s="234"/>
      <c r="AJ90" s="234"/>
      <c r="AK90" s="234"/>
      <c r="AL90" s="234"/>
      <c r="AM90" s="194"/>
      <c r="AN90" s="302"/>
      <c r="AO90" s="306"/>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63"/>
      <c r="CT90" s="63">
        <f t="shared" si="279"/>
        <v>0</v>
      </c>
      <c r="CU90" s="63">
        <f t="shared" si="280"/>
        <v>0</v>
      </c>
      <c r="CV90" s="63">
        <v>600</v>
      </c>
      <c r="CW90" s="63" t="e">
        <f>ROUNDUP((準備!$E$60/100+準備!$C$48/100)*G90,2)</f>
        <v>#N/A</v>
      </c>
      <c r="CX90" s="63"/>
      <c r="CY90" s="63" t="e">
        <f t="shared" si="281"/>
        <v>#N/A</v>
      </c>
      <c r="CZ90" s="63" t="e">
        <f>ROUNDUP(5*$DP90*POWER($H90*100,4)/(384*VLOOKUP(VALUE(RIGHT($I90,4)),許容応力!$V$6:$AE$22,10)*100*0.5*$DD90),2)</f>
        <v>#N/A</v>
      </c>
      <c r="DA90" s="63"/>
      <c r="DB90" s="63"/>
      <c r="DC90" s="63" t="e">
        <f t="shared" si="266"/>
        <v>#N/A</v>
      </c>
      <c r="DD90" s="63" t="e">
        <f t="shared" si="267"/>
        <v>#N/A</v>
      </c>
      <c r="DE90" s="10">
        <f>ROUND(VLOOKUP(DJ90,許容応力!$V$6:$AE$22,6)*VALUE(RIGHT(M90,6))*1.1/3*100,0)</f>
        <v>0</v>
      </c>
      <c r="DF90" s="63">
        <f>ROUND(VLOOKUP(DJ90,許容応力!$V$6:$AE$22,7)*100*2/3*0.8*VALUE(RIGHT(M90,6)),0)</f>
        <v>0</v>
      </c>
      <c r="DG90" s="63">
        <v>600</v>
      </c>
      <c r="DH90" s="63">
        <f t="shared" si="254"/>
        <v>0.17</v>
      </c>
      <c r="DI90" s="63"/>
      <c r="DJ90" s="63">
        <f t="shared" si="282"/>
        <v>2</v>
      </c>
      <c r="DK90" s="69">
        <f>ROUND(ATAN(E90/10)*180/PI(),4)</f>
        <v>0</v>
      </c>
      <c r="DL90" s="70">
        <f t="shared" si="283"/>
        <v>1</v>
      </c>
      <c r="DM90" s="63">
        <f>VLOOKUP(VALUE(RIGHT(C90,4)),$I$610:$L$617,4)</f>
        <v>0</v>
      </c>
      <c r="DN90" s="63" t="e">
        <f t="shared" si="259"/>
        <v>#DIV/0!</v>
      </c>
      <c r="DO90" s="63"/>
      <c r="DP90" s="63">
        <f>ROUNDUP((準備!$E$60/100+CV90/100)*G90,2)</f>
        <v>2.8499999999999996</v>
      </c>
      <c r="DQ90" s="63"/>
      <c r="DR90" s="63"/>
      <c r="DS90" s="63" t="e">
        <f t="shared" si="284"/>
        <v>#N/A</v>
      </c>
      <c r="DT90" s="63" t="e">
        <f t="shared" si="284"/>
        <v>#DIV/0!</v>
      </c>
      <c r="DX90" s="155" t="e">
        <f t="shared" si="285"/>
        <v>#N/A</v>
      </c>
      <c r="DY90" s="63" t="e">
        <f>ROUND(SQRT(EB90/($J90/10)*6)*10,1)</f>
        <v>#N/A</v>
      </c>
      <c r="DZ90" s="63" t="e">
        <f>POWER(ROUND(EC90/($J90/10)*12,2),1/3)*10</f>
        <v>#DIV/0!</v>
      </c>
      <c r="EA90" s="57"/>
      <c r="EB90" s="63" t="e">
        <f>ROUNDUP($CW90*POWER($H90*100,2)/8/$DE90,1)</f>
        <v>#N/A</v>
      </c>
      <c r="EC90" s="63" t="e">
        <f>ROUNDUP(5*$DP90*POWER($H90*100,4)/(384*VLOOKUP(VALUE(RIGHT($I90,4)),許容応力!$V$6:$AE$22,10)*100*0.5*$DH90),2)</f>
        <v>#DIV/0!</v>
      </c>
      <c r="ED90" s="57"/>
      <c r="EE90" s="57"/>
      <c r="EF90" s="57"/>
      <c r="EG90" s="57"/>
      <c r="EH90" s="57"/>
      <c r="EI90" s="57"/>
    </row>
    <row r="91" spans="2:170" ht="32.1" customHeight="1" thickBot="1" x14ac:dyDescent="0.2">
      <c r="B91" s="1512" t="s">
        <v>826</v>
      </c>
      <c r="C91" s="575" t="s">
        <v>829</v>
      </c>
      <c r="D91" s="575" t="str">
        <f>+""</f>
        <v/>
      </c>
      <c r="E91" s="1599" t="s">
        <v>238</v>
      </c>
      <c r="F91" s="1375"/>
      <c r="G91" s="577"/>
      <c r="H91" s="577"/>
      <c r="I91" s="1130"/>
      <c r="J91" s="1134"/>
      <c r="K91" s="568">
        <f t="shared" si="275"/>
        <v>0</v>
      </c>
      <c r="L91" s="251">
        <f t="shared" si="276"/>
        <v>0</v>
      </c>
      <c r="M91" s="1142" t="s">
        <v>787</v>
      </c>
      <c r="N91" s="226" t="str">
        <f t="shared" si="277"/>
        <v/>
      </c>
      <c r="O91" s="226" t="str">
        <f t="shared" si="278"/>
        <v/>
      </c>
      <c r="P91" s="226" t="str">
        <f>IF(L91=0,"",ROUNDUP(DA91/DF91,2))</f>
        <v/>
      </c>
      <c r="Q91" s="226" t="str">
        <f>IF(L91=0,"",ROUNDUP(DB91/DN91,2))</f>
        <v/>
      </c>
      <c r="R91" s="1518" t="str">
        <f>IF(N91=+"","",IF(AND(N91&lt;=1,O91&lt;=1,P91&lt;=1,Q91&lt;=1),"OK!","NO!"))</f>
        <v/>
      </c>
      <c r="S91" s="1317"/>
      <c r="T91" s="227">
        <f t="shared" si="249"/>
        <v>0</v>
      </c>
      <c r="U91" s="228">
        <f t="shared" si="250"/>
        <v>0</v>
      </c>
      <c r="V91" s="234"/>
      <c r="W91" s="234"/>
      <c r="X91" s="234"/>
      <c r="Y91" s="234"/>
      <c r="Z91" s="234"/>
      <c r="AA91" s="234"/>
      <c r="AB91" s="234"/>
      <c r="AC91" s="234"/>
      <c r="AD91" s="234"/>
      <c r="AE91" s="234"/>
      <c r="AF91" s="194"/>
      <c r="AG91" s="194"/>
      <c r="AH91" s="194"/>
      <c r="AI91" s="594"/>
      <c r="AJ91" s="194"/>
      <c r="AK91" s="302"/>
      <c r="AL91" s="234"/>
      <c r="AM91" s="194"/>
      <c r="AN91" s="302"/>
      <c r="AO91" s="306"/>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63"/>
      <c r="CT91" s="63">
        <f t="shared" si="279"/>
        <v>0</v>
      </c>
      <c r="CU91" s="63">
        <f t="shared" si="280"/>
        <v>0</v>
      </c>
      <c r="CV91" s="63">
        <v>600</v>
      </c>
      <c r="CW91" s="63">
        <f>ROUNDUP((準備!$G$15/100+CT91/100+1800/100)*G91,2)</f>
        <v>0</v>
      </c>
      <c r="CX91" s="63">
        <f>ROUNDUP((準備!$G$15/100+CU91/100+600/100)*G91,2)</f>
        <v>0</v>
      </c>
      <c r="CY91" s="63" t="e">
        <f t="shared" si="281"/>
        <v>#DIV/0!</v>
      </c>
      <c r="CZ91" s="63" t="e">
        <f>ROUNDUP(5*$DP91*POWER($H91*100,4)/(384*VLOOKUP(VALUE(RIGHT($I91,4)),許容応力!$V$6:$AE$22,10)*100*0.5*$DD91),2)</f>
        <v>#VALUE!</v>
      </c>
      <c r="DA91" s="63" t="e">
        <f>ROUNDUP($CX91*POWER($H91*100,2)/8/$DC91,1)</f>
        <v>#DIV/0!</v>
      </c>
      <c r="DB91" s="63" t="e">
        <f>ROUNDUP(5*$DQ91*POWER($H91*100,4)/(384*VLOOKUP(VALUE(RIGHT($I91,4)),許容応力!$V$6:$AE$22,10)*100*$DD91),2)</f>
        <v>#VALUE!</v>
      </c>
      <c r="DC91" s="63">
        <f t="shared" si="266"/>
        <v>0</v>
      </c>
      <c r="DD91" s="63">
        <f t="shared" si="267"/>
        <v>0</v>
      </c>
      <c r="DE91" s="10" t="e">
        <f>ROUND(VLOOKUP(DJ91,許容応力!$V$6:$AE$22,6)*VALUE(RIGHT(M91,6))*1.1/3*100,0)</f>
        <v>#VALUE!</v>
      </c>
      <c r="DF91" s="63" t="e">
        <f>ROUND(VLOOKUP(DJ91,許容応力!$V$6:$AE$22,7)*100*2/3*0.8*VALUE(RIGHT(M91,6)),0)</f>
        <v>#VALUE!</v>
      </c>
      <c r="DG91" s="63">
        <v>600</v>
      </c>
      <c r="DH91" s="63">
        <f t="shared" si="254"/>
        <v>0</v>
      </c>
      <c r="DI91" s="63"/>
      <c r="DJ91" s="63" t="e">
        <f t="shared" si="282"/>
        <v>#VALUE!</v>
      </c>
      <c r="DK91" s="69" t="e">
        <f>ROUND(ATAN(#REF!/10)*180/PI(),4)</f>
        <v>#REF!</v>
      </c>
      <c r="DL91" s="70" t="e">
        <f t="shared" si="283"/>
        <v>#REF!</v>
      </c>
      <c r="DM91" s="63">
        <v>225</v>
      </c>
      <c r="DN91" s="63">
        <f t="shared" si="259"/>
        <v>0</v>
      </c>
      <c r="DO91" s="63"/>
      <c r="DP91" s="63">
        <f>ROUNDUP((準備!$G$15/100+IF(CT91&gt;600,CT91/100,1800/100))*G91,2)</f>
        <v>0</v>
      </c>
      <c r="DQ91" s="63">
        <f>ROUNDUP((準備!$G$15/100+IF(CU91&gt;600,CU91/100,600/100+CU91))*G91,2)</f>
        <v>0</v>
      </c>
      <c r="DR91" s="63"/>
      <c r="DS91" s="63" t="e">
        <f t="shared" si="284"/>
        <v>#VALUE!</v>
      </c>
      <c r="DT91" s="63" t="e">
        <f t="shared" si="284"/>
        <v>#VALUE!</v>
      </c>
      <c r="DV91" s="63" t="e">
        <f t="shared" ref="DV91:DW93" si="286">IF(EB91&lt;21,21,IF(AND(EB91&gt;21,EB91&lt;=24),24,IF(AND(EB91&gt;30,EB91&lt;=40),40,IF(AND(EB91&gt;40,EB91&lt;=45),45,IF(AND(EB91&gt;60,EB91&lt;=75),75,IF(AND(EB91&gt;90,EB91&lt;=105),105,IF(AND(EB91&gt;120,EB91&lt;=135),135,ROUNDUP(EB91/3,-1)*3)))))))</f>
        <v>#VALUE!</v>
      </c>
      <c r="DW91" s="63" t="e">
        <f t="shared" si="286"/>
        <v>#VALUE!</v>
      </c>
      <c r="DX91" s="155" t="e">
        <f t="shared" si="285"/>
        <v>#VALUE!</v>
      </c>
      <c r="DY91" s="63" t="e">
        <f>ROUND(SQRT(EE91/($J91/10)*6)*10,1)</f>
        <v>#VALUE!</v>
      </c>
      <c r="DZ91" s="63" t="e">
        <f>POWER(ROUND(EF91/($J91/10)*12,2),1/3)*10</f>
        <v>#VALUE!</v>
      </c>
      <c r="EB91" s="63" t="e">
        <f>ROUND(SQRT(EH91/($J91/10)*6)*10,1)</f>
        <v>#VALUE!</v>
      </c>
      <c r="EC91" s="63" t="e">
        <f>POWER(ROUND(EI91/($J91/10)*12,2),1/3)*10</f>
        <v>#VALUE!</v>
      </c>
      <c r="ED91" s="57"/>
      <c r="EE91" s="63" t="e">
        <f>ROUNDUP($CW91*POWER($H91*100,2)/8/$DE91,1)</f>
        <v>#VALUE!</v>
      </c>
      <c r="EF91" s="63" t="e">
        <f>ROUNDUP(5*$DP91*POWER($H91*100,4)/(384*VLOOKUP(VALUE(RIGHT($I91,4)),許容応力!$B$6:$K$22,10)*100*0.5*$DH91),2)</f>
        <v>#VALUE!</v>
      </c>
      <c r="EH91" s="63" t="e">
        <f>ROUNDUP($CX91*POWER($H91*100,2)/8/$DF91,1)</f>
        <v>#VALUE!</v>
      </c>
      <c r="EI91" s="63" t="e">
        <f>ROUNDUP(5*$DQ91*POWER($H91*100,4)/(384*VLOOKUP(VALUE(RIGHT($I91,4)),許容応力!$B$6:$K$22,10)*100*$DN91),2)</f>
        <v>#VALUE!</v>
      </c>
    </row>
    <row r="92" spans="2:170" ht="32.1" customHeight="1" thickBot="1" x14ac:dyDescent="0.2">
      <c r="B92" s="1512"/>
      <c r="C92" s="561" t="s">
        <v>841</v>
      </c>
      <c r="D92" s="561" t="str">
        <f>+""</f>
        <v/>
      </c>
      <c r="E92" s="1600" t="s">
        <v>238</v>
      </c>
      <c r="F92" s="1378"/>
      <c r="G92" s="578"/>
      <c r="H92" s="578"/>
      <c r="I92" s="1131"/>
      <c r="J92" s="1135"/>
      <c r="K92" s="586">
        <f t="shared" si="275"/>
        <v>0</v>
      </c>
      <c r="L92" s="255">
        <f t="shared" si="276"/>
        <v>0</v>
      </c>
      <c r="M92" s="1143" t="s">
        <v>787</v>
      </c>
      <c r="N92" s="257" t="str">
        <f t="shared" si="277"/>
        <v/>
      </c>
      <c r="O92" s="257" t="str">
        <f t="shared" si="278"/>
        <v/>
      </c>
      <c r="P92" s="257" t="str">
        <f>IF(L92=0,"",ROUNDUP(DA92/DF92,2))</f>
        <v/>
      </c>
      <c r="Q92" s="257" t="str">
        <f>IF(L92=0,"",ROUNDUP(DB92/DN92,2))</f>
        <v/>
      </c>
      <c r="R92" s="1560" t="str">
        <f>IF(N92=+"","",IF(AND(N92&lt;=1,O92&lt;=1,P92&lt;=1,Q92&lt;=1),"OK!","NO!"))</f>
        <v/>
      </c>
      <c r="S92" s="1302"/>
      <c r="T92" s="258">
        <f t="shared" si="249"/>
        <v>0</v>
      </c>
      <c r="U92" s="259">
        <f t="shared" si="250"/>
        <v>0</v>
      </c>
      <c r="V92" s="234"/>
      <c r="W92" s="234"/>
      <c r="X92" s="234"/>
      <c r="Y92" s="234"/>
      <c r="Z92" s="234"/>
      <c r="AA92" s="234"/>
      <c r="AB92" s="234"/>
      <c r="AC92" s="234"/>
      <c r="AD92" s="234"/>
      <c r="AE92" s="234"/>
      <c r="AF92" s="194"/>
      <c r="AG92" s="194"/>
      <c r="AH92" s="194"/>
      <c r="AI92" s="594"/>
      <c r="AJ92" s="194"/>
      <c r="AK92" s="302"/>
      <c r="AL92" s="234"/>
      <c r="AM92" s="194"/>
      <c r="AN92" s="302"/>
      <c r="AO92" s="306"/>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63"/>
      <c r="CT92" s="63">
        <f t="shared" si="279"/>
        <v>0</v>
      </c>
      <c r="CU92" s="63">
        <f t="shared" si="280"/>
        <v>0</v>
      </c>
      <c r="CV92" s="63">
        <v>600</v>
      </c>
      <c r="CW92" s="63">
        <f>ROUNDUP((準備!$G$15/100+CT92/100+1800/100)*G92,2)</f>
        <v>0</v>
      </c>
      <c r="CX92" s="63">
        <f>ROUNDUP((準備!$G$15/100+CU92/100+600/100)*G92,2)</f>
        <v>0</v>
      </c>
      <c r="CY92" s="63" t="e">
        <f t="shared" si="281"/>
        <v>#DIV/0!</v>
      </c>
      <c r="CZ92" s="63" t="e">
        <f>ROUNDUP(5*$DP92*POWER($H92*100,4)/(384*VLOOKUP(VALUE(RIGHT($I92,4)),許容応力!$V$6:$AE$22,10)*100*0.5*$DD92),2)</f>
        <v>#VALUE!</v>
      </c>
      <c r="DA92" s="63" t="e">
        <f>ROUNDUP($CX92*POWER($H92*100,2)/8/$DC92,1)</f>
        <v>#DIV/0!</v>
      </c>
      <c r="DB92" s="63" t="e">
        <f>ROUNDUP(5*$DQ92*POWER($H92*100,4)/(384*VLOOKUP(VALUE(RIGHT($I92,4)),許容応力!$V$6:$AE$22,10)*100*$DD92),2)</f>
        <v>#VALUE!</v>
      </c>
      <c r="DC92" s="63">
        <f t="shared" si="266"/>
        <v>0</v>
      </c>
      <c r="DD92" s="63">
        <f t="shared" si="267"/>
        <v>0</v>
      </c>
      <c r="DE92" s="10" t="e">
        <f>ROUND(VLOOKUP(DJ92,許容応力!$V$6:$AE$22,6)*VALUE(RIGHT(M92,6))*1.1/3*100,0)</f>
        <v>#VALUE!</v>
      </c>
      <c r="DF92" s="63" t="e">
        <f>ROUND(VLOOKUP(DJ92,許容応力!$V$6:$AE$22,7)*100*2/3*0.8*VALUE(RIGHT(M92,6)),0)</f>
        <v>#VALUE!</v>
      </c>
      <c r="DG92" s="63">
        <v>600</v>
      </c>
      <c r="DH92" s="63">
        <f t="shared" si="254"/>
        <v>0</v>
      </c>
      <c r="DI92" s="63"/>
      <c r="DJ92" s="63" t="e">
        <f t="shared" si="282"/>
        <v>#VALUE!</v>
      </c>
      <c r="DK92" s="69" t="e">
        <f>ROUND(ATAN(#REF!/10)*180/PI(),4)</f>
        <v>#REF!</v>
      </c>
      <c r="DL92" s="70" t="e">
        <f t="shared" si="283"/>
        <v>#REF!</v>
      </c>
      <c r="DM92" s="63">
        <v>225</v>
      </c>
      <c r="DN92" s="63">
        <f t="shared" si="259"/>
        <v>0</v>
      </c>
      <c r="DO92" s="63"/>
      <c r="DP92" s="63">
        <f>ROUNDUP((準備!$G$15/100+IF(CT92&gt;600,CT92/100,1800/100))*G92,2)</f>
        <v>0</v>
      </c>
      <c r="DQ92" s="63">
        <f>ROUNDUP((準備!$G$15/100+IF(CU92&gt;600,CU92/100,600/100+CU92))*G92,2)</f>
        <v>0</v>
      </c>
      <c r="DR92" s="63"/>
      <c r="DS92" s="63" t="e">
        <f t="shared" si="284"/>
        <v>#VALUE!</v>
      </c>
      <c r="DT92" s="63" t="e">
        <f t="shared" si="284"/>
        <v>#VALUE!</v>
      </c>
      <c r="DV92" s="63" t="e">
        <f t="shared" si="286"/>
        <v>#VALUE!</v>
      </c>
      <c r="DW92" s="63" t="e">
        <f t="shared" si="286"/>
        <v>#VALUE!</v>
      </c>
      <c r="DX92" s="155" t="e">
        <f t="shared" si="285"/>
        <v>#VALUE!</v>
      </c>
      <c r="DY92" s="63" t="e">
        <f>ROUND(SQRT(EE92/($J92/10)*6)*10,1)</f>
        <v>#VALUE!</v>
      </c>
      <c r="DZ92" s="63" t="e">
        <f>POWER(ROUND(EF92/($J92/10)*12,2),1/3)*10</f>
        <v>#VALUE!</v>
      </c>
      <c r="EB92" s="63" t="e">
        <f>ROUND(SQRT(EH92/($J92/10)*6)*10,1)</f>
        <v>#VALUE!</v>
      </c>
      <c r="EC92" s="63" t="e">
        <f>POWER(ROUND(EI92/($J92/10)*12,2),1/3)*10</f>
        <v>#VALUE!</v>
      </c>
      <c r="ED92" s="57"/>
      <c r="EE92" s="63" t="e">
        <f>ROUNDUP($CW92*POWER($H92*100,2)/8/$DE92,1)</f>
        <v>#VALUE!</v>
      </c>
      <c r="EF92" s="63" t="e">
        <f>ROUNDUP(5*$DP92*POWER($H92*100,4)/(384*VLOOKUP(VALUE(RIGHT($I92,4)),許容応力!$B$6:$K$22,10)*100*0.5*$DH92),2)</f>
        <v>#VALUE!</v>
      </c>
      <c r="EH92" s="63" t="e">
        <f>ROUNDUP($CX92*POWER($H92*100,2)/8/$DF92,1)</f>
        <v>#VALUE!</v>
      </c>
      <c r="EI92" s="63" t="e">
        <f>ROUNDUP(5*$DQ92*POWER($H92*100,4)/(384*VLOOKUP(VALUE(RIGHT($I92,4)),許容応力!$B$6:$K$22,10)*100*$DN92),2)</f>
        <v>#VALUE!</v>
      </c>
    </row>
    <row r="93" spans="2:170" ht="32.1" customHeight="1" thickBot="1" x14ac:dyDescent="0.2">
      <c r="B93" s="1512"/>
      <c r="C93" s="565" t="s">
        <v>842</v>
      </c>
      <c r="D93" s="565" t="str">
        <f>+""</f>
        <v/>
      </c>
      <c r="E93" s="1601" t="s">
        <v>238</v>
      </c>
      <c r="F93" s="1379"/>
      <c r="G93" s="585"/>
      <c r="H93" s="585"/>
      <c r="I93" s="1132"/>
      <c r="J93" s="1136"/>
      <c r="K93" s="459">
        <f t="shared" si="275"/>
        <v>0</v>
      </c>
      <c r="L93" s="252">
        <f t="shared" si="276"/>
        <v>0</v>
      </c>
      <c r="M93" s="1144" t="s">
        <v>787</v>
      </c>
      <c r="N93" s="229" t="str">
        <f t="shared" si="277"/>
        <v/>
      </c>
      <c r="O93" s="229" t="str">
        <f t="shared" si="278"/>
        <v/>
      </c>
      <c r="P93" s="229" t="str">
        <f>IF(L93=0,"",ROUNDUP(DA93/DF93,2))</f>
        <v/>
      </c>
      <c r="Q93" s="229" t="str">
        <f>IF(L93=0,"",ROUNDUP(DB93/DN93,2))</f>
        <v/>
      </c>
      <c r="R93" s="1561" t="str">
        <f>IF(N93=+"","",IF(AND(N93&lt;=1,O93&lt;=1,P93&lt;=1,Q93&lt;=1),"OK!","NO!"))</f>
        <v/>
      </c>
      <c r="S93" s="1559"/>
      <c r="T93" s="230">
        <f t="shared" si="249"/>
        <v>0</v>
      </c>
      <c r="U93" s="231">
        <f t="shared" si="250"/>
        <v>0</v>
      </c>
      <c r="V93" s="234"/>
      <c r="W93" s="234"/>
      <c r="X93" s="234"/>
      <c r="Y93" s="234"/>
      <c r="Z93" s="234"/>
      <c r="AA93" s="234"/>
      <c r="AB93" s="234"/>
      <c r="AC93" s="234"/>
      <c r="AD93" s="234"/>
      <c r="AE93" s="234"/>
      <c r="AF93" s="194"/>
      <c r="AG93" s="194"/>
      <c r="AH93" s="194"/>
      <c r="AI93" s="594"/>
      <c r="AJ93" s="194"/>
      <c r="AK93" s="302"/>
      <c r="AL93" s="234"/>
      <c r="AM93" s="194"/>
      <c r="AN93" s="302"/>
      <c r="AO93" s="306"/>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18"/>
      <c r="CO93" s="18"/>
      <c r="CP93" s="18"/>
      <c r="CQ93" s="18"/>
      <c r="CR93" s="18"/>
      <c r="CS93" s="63"/>
      <c r="CT93" s="63">
        <f t="shared" si="279"/>
        <v>0</v>
      </c>
      <c r="CU93" s="63">
        <f t="shared" si="280"/>
        <v>0</v>
      </c>
      <c r="CV93" s="63">
        <v>600</v>
      </c>
      <c r="CW93" s="63">
        <f>ROUNDUP((準備!$G$15/100+CT93/100+1800/100)*G93,2)</f>
        <v>0</v>
      </c>
      <c r="CX93" s="63">
        <f>ROUNDUP((準備!$G$15/100+CU93/100+600/100)*G93,2)</f>
        <v>0</v>
      </c>
      <c r="CY93" s="63" t="e">
        <f t="shared" si="281"/>
        <v>#DIV/0!</v>
      </c>
      <c r="CZ93" s="63" t="e">
        <f>ROUNDUP(5*$DP93*POWER($H93*100,4)/(384*VLOOKUP(VALUE(RIGHT($I93,4)),許容応力!$V$6:$AE$22,10)*100*0.5*$DD93),2)</f>
        <v>#VALUE!</v>
      </c>
      <c r="DA93" s="63" t="e">
        <f>ROUNDUP($CX93*POWER($H93*100,2)/8/$DC93,1)</f>
        <v>#DIV/0!</v>
      </c>
      <c r="DB93" s="63" t="e">
        <f>ROUNDUP(5*$DQ93*POWER($H93*100,4)/(384*VLOOKUP(VALUE(RIGHT($I93,4)),許容応力!$V$6:$AE$22,10)*100*$DD93),2)</f>
        <v>#VALUE!</v>
      </c>
      <c r="DC93" s="63">
        <f t="shared" si="266"/>
        <v>0</v>
      </c>
      <c r="DD93" s="63">
        <f t="shared" si="267"/>
        <v>0</v>
      </c>
      <c r="DE93" s="10" t="e">
        <f>ROUND(VLOOKUP(DJ93,許容応力!$V$6:$AE$22,6)*VALUE(RIGHT(M93,6))*1.1/3*100,0)</f>
        <v>#VALUE!</v>
      </c>
      <c r="DF93" s="63" t="e">
        <f>ROUND(VLOOKUP(DJ93,許容応力!$V$6:$AE$22,7)*100*2/3*0.8*VALUE(RIGHT(M93,6)),0)</f>
        <v>#VALUE!</v>
      </c>
      <c r="DG93" s="63">
        <v>600</v>
      </c>
      <c r="DH93" s="63">
        <f t="shared" si="254"/>
        <v>0</v>
      </c>
      <c r="DI93" s="63"/>
      <c r="DJ93" s="63" t="e">
        <f t="shared" si="282"/>
        <v>#VALUE!</v>
      </c>
      <c r="DK93" s="69" t="e">
        <f>ROUND(ATAN(#REF!/10)*180/PI(),4)</f>
        <v>#REF!</v>
      </c>
      <c r="DL93" s="70" t="e">
        <f t="shared" si="283"/>
        <v>#REF!</v>
      </c>
      <c r="DM93" s="63">
        <v>225</v>
      </c>
      <c r="DN93" s="63">
        <f t="shared" si="259"/>
        <v>0</v>
      </c>
      <c r="DO93" s="63"/>
      <c r="DP93" s="63">
        <f>ROUNDUP((準備!$G$15/100+IF(CT93&gt;600,CT93/100,1800/100))*G93,2)</f>
        <v>0</v>
      </c>
      <c r="DQ93" s="63">
        <f>ROUNDUP((準備!$G$15/100+IF(CU93&gt;600,CU93/100,600/100+CU93))*G93,2)</f>
        <v>0</v>
      </c>
      <c r="DR93" s="63"/>
      <c r="DS93" s="63" t="e">
        <f t="shared" si="284"/>
        <v>#VALUE!</v>
      </c>
      <c r="DT93" s="63" t="e">
        <f t="shared" si="284"/>
        <v>#VALUE!</v>
      </c>
      <c r="DV93" s="63" t="e">
        <f t="shared" si="286"/>
        <v>#VALUE!</v>
      </c>
      <c r="DW93" s="63" t="e">
        <f t="shared" si="286"/>
        <v>#VALUE!</v>
      </c>
      <c r="DX93" s="155" t="e">
        <f t="shared" si="285"/>
        <v>#VALUE!</v>
      </c>
      <c r="DY93" s="63" t="e">
        <f>ROUND(SQRT(EE93/($J93/10)*6)*10,1)</f>
        <v>#VALUE!</v>
      </c>
      <c r="DZ93" s="63" t="e">
        <f>POWER(ROUND(EF93/($J93/10)*12,2),1/3)*10</f>
        <v>#VALUE!</v>
      </c>
      <c r="EB93" s="63" t="e">
        <f>ROUND(SQRT(EH93/($J93/10)*6)*10,1)</f>
        <v>#VALUE!</v>
      </c>
      <c r="EC93" s="63" t="e">
        <f>POWER(ROUND(EI93/($J93/10)*12,2),1/3)*10</f>
        <v>#VALUE!</v>
      </c>
      <c r="ED93" s="57"/>
      <c r="EE93" s="63" t="e">
        <f>ROUNDUP($CW93*POWER($H93*100,2)/8/$DE93,1)</f>
        <v>#VALUE!</v>
      </c>
      <c r="EF93" s="63" t="e">
        <f>ROUNDUP(5*$DP93*POWER($H93*100,4)/(384*VLOOKUP(VALUE(RIGHT($I93,4)),許容応力!$B$6:$K$22,10)*100*0.5*$DH93),2)</f>
        <v>#VALUE!</v>
      </c>
      <c r="EH93" s="63" t="e">
        <f>ROUNDUP($CX93*POWER($H93*100,2)/8/$DF93,1)</f>
        <v>#VALUE!</v>
      </c>
      <c r="EI93" s="63" t="e">
        <f>ROUNDUP(5*$DQ93*POWER($H93*100,4)/(384*VLOOKUP(VALUE(RIGHT($I93,4)),許容応力!$B$6:$K$22,10)*100*$DN93),2)</f>
        <v>#VALUE!</v>
      </c>
    </row>
    <row r="94" spans="2:170" ht="15.95" customHeight="1" x14ac:dyDescent="0.15">
      <c r="B94" s="1513" t="s">
        <v>835</v>
      </c>
      <c r="C94" s="1420" t="s">
        <v>713</v>
      </c>
      <c r="D94" s="1200"/>
      <c r="E94" s="1200" t="s">
        <v>190</v>
      </c>
      <c r="F94" s="1200"/>
      <c r="G94" s="1196" t="s">
        <v>239</v>
      </c>
      <c r="H94" s="1196" t="s">
        <v>240</v>
      </c>
      <c r="I94" s="1196" t="s">
        <v>464</v>
      </c>
      <c r="J94" s="1591" t="s">
        <v>253</v>
      </c>
      <c r="K94" s="1197" t="s">
        <v>268</v>
      </c>
      <c r="L94" s="1199"/>
      <c r="M94" s="1227" t="s">
        <v>258</v>
      </c>
      <c r="N94" s="1229"/>
      <c r="O94" s="1200" t="s">
        <v>15</v>
      </c>
      <c r="P94" s="1227" t="s">
        <v>783</v>
      </c>
      <c r="Q94" s="1173"/>
      <c r="R94" s="1527"/>
      <c r="S94" s="1196" t="s">
        <v>241</v>
      </c>
      <c r="T94" s="1227" t="s">
        <v>165</v>
      </c>
      <c r="U94" s="1173"/>
      <c r="V94" s="1192" t="s">
        <v>243</v>
      </c>
      <c r="W94" s="1192"/>
      <c r="X94" s="1192"/>
      <c r="Y94" s="1192"/>
      <c r="Z94" s="1227" t="s">
        <v>423</v>
      </c>
      <c r="AA94" s="1227" t="s">
        <v>199</v>
      </c>
      <c r="AB94" s="1228"/>
      <c r="AC94" s="1229"/>
      <c r="AD94" s="1227" t="s">
        <v>200</v>
      </c>
      <c r="AE94" s="1228"/>
      <c r="AF94" s="1229"/>
      <c r="AG94" s="1197" t="s">
        <v>844</v>
      </c>
      <c r="AH94" s="1348"/>
      <c r="AI94" s="1348"/>
      <c r="AJ94" s="1348"/>
      <c r="AK94" s="1348"/>
      <c r="AL94" s="1348"/>
      <c r="AM94" s="1550"/>
      <c r="AN94" s="1610" t="s">
        <v>166</v>
      </c>
      <c r="AO94" s="1611"/>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58"/>
      <c r="CS94" s="23"/>
      <c r="CT94" s="23"/>
      <c r="CU94" s="23"/>
      <c r="CV94" s="23"/>
      <c r="CW94" s="63"/>
      <c r="CX94" s="63"/>
      <c r="CY94" s="63"/>
      <c r="CZ94" s="63"/>
      <c r="DA94" s="63"/>
      <c r="DB94" s="63"/>
      <c r="DC94" s="63"/>
      <c r="DD94" s="63"/>
      <c r="DE94" s="63"/>
      <c r="DF94" s="63"/>
      <c r="DG94" s="63"/>
      <c r="DH94" s="10"/>
      <c r="DI94" s="63"/>
      <c r="DJ94" s="10"/>
      <c r="DK94" s="63"/>
      <c r="DL94" s="10"/>
      <c r="DM94" s="63"/>
      <c r="DN94" s="63"/>
      <c r="DO94" s="63"/>
      <c r="DP94" s="63"/>
      <c r="DQ94" s="63"/>
      <c r="DR94" s="69"/>
      <c r="DS94" s="70"/>
      <c r="DT94" s="63"/>
      <c r="DU94" s="63"/>
      <c r="DV94" s="63"/>
      <c r="DW94" s="63"/>
      <c r="DX94" s="63"/>
      <c r="DY94" s="71"/>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row>
    <row r="95" spans="2:170" ht="15.95" customHeight="1" x14ac:dyDescent="0.15">
      <c r="B95" s="1514"/>
      <c r="C95" s="1602"/>
      <c r="D95" s="1180"/>
      <c r="E95" s="1320"/>
      <c r="F95" s="1320"/>
      <c r="G95" s="1158"/>
      <c r="H95" s="1158"/>
      <c r="I95" s="1158"/>
      <c r="J95" s="1405"/>
      <c r="K95" s="214" t="s">
        <v>505</v>
      </c>
      <c r="L95" s="215" t="s">
        <v>506</v>
      </c>
      <c r="M95" s="1405"/>
      <c r="N95" s="1406"/>
      <c r="O95" s="1180"/>
      <c r="P95" s="1322"/>
      <c r="Q95" s="1210"/>
      <c r="R95" s="1211"/>
      <c r="S95" s="1158"/>
      <c r="T95" s="1322"/>
      <c r="U95" s="1210"/>
      <c r="V95" s="1166"/>
      <c r="W95" s="1166"/>
      <c r="X95" s="1166"/>
      <c r="Y95" s="1166"/>
      <c r="Z95" s="1557"/>
      <c r="AA95" s="1322"/>
      <c r="AB95" s="1210"/>
      <c r="AC95" s="1211"/>
      <c r="AD95" s="1322"/>
      <c r="AE95" s="1210"/>
      <c r="AF95" s="1210"/>
      <c r="AG95" s="1374" t="s">
        <v>767</v>
      </c>
      <c r="AH95" s="1374"/>
      <c r="AI95" s="1374" t="s">
        <v>768</v>
      </c>
      <c r="AJ95" s="1374"/>
      <c r="AK95" s="1239" t="s">
        <v>536</v>
      </c>
      <c r="AL95" s="1552" t="s">
        <v>537</v>
      </c>
      <c r="AM95" s="1242" t="s">
        <v>165</v>
      </c>
      <c r="AN95" s="1612"/>
      <c r="AO95" s="161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58"/>
      <c r="CU95" s="23"/>
      <c r="CV95" s="23"/>
      <c r="CW95" s="23"/>
      <c r="CX95" s="23"/>
      <c r="CY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3" t="s">
        <v>507</v>
      </c>
      <c r="EJ95" s="63" t="s">
        <v>508</v>
      </c>
      <c r="EK95" s="63" t="s">
        <v>509</v>
      </c>
      <c r="EL95" s="63" t="s">
        <v>510</v>
      </c>
      <c r="EM95" s="63" t="s">
        <v>511</v>
      </c>
      <c r="EN95" s="63" t="s">
        <v>512</v>
      </c>
      <c r="EO95" s="63" t="s">
        <v>513</v>
      </c>
      <c r="EP95" s="63" t="s">
        <v>514</v>
      </c>
      <c r="EQ95" s="63" t="s">
        <v>515</v>
      </c>
      <c r="ER95" s="63" t="s">
        <v>516</v>
      </c>
      <c r="ES95" s="63" t="s">
        <v>517</v>
      </c>
      <c r="ET95" s="63" t="s">
        <v>518</v>
      </c>
      <c r="EU95" s="63" t="s">
        <v>519</v>
      </c>
      <c r="EV95" s="63" t="s">
        <v>520</v>
      </c>
      <c r="EW95" s="63" t="s">
        <v>521</v>
      </c>
      <c r="EX95" s="63" t="s">
        <v>522</v>
      </c>
      <c r="EY95" s="63" t="s">
        <v>523</v>
      </c>
      <c r="EZ95" s="63" t="s">
        <v>524</v>
      </c>
      <c r="FA95" s="3" t="s">
        <v>525</v>
      </c>
      <c r="FB95" s="63" t="s">
        <v>697</v>
      </c>
      <c r="FC95" s="63" t="s">
        <v>698</v>
      </c>
      <c r="FD95" s="63" t="s">
        <v>699</v>
      </c>
      <c r="FE95" s="63" t="s">
        <v>700</v>
      </c>
      <c r="FF95" s="63" t="s">
        <v>701</v>
      </c>
      <c r="FG95" s="63" t="s">
        <v>702</v>
      </c>
      <c r="FH95" s="63"/>
      <c r="FI95" s="63"/>
      <c r="FJ95" s="63"/>
      <c r="FK95" s="63"/>
      <c r="FL95" s="57"/>
      <c r="FM95" s="57"/>
    </row>
    <row r="96" spans="2:170" ht="15.95" customHeight="1" x14ac:dyDescent="0.15">
      <c r="B96" s="1514"/>
      <c r="C96" s="1603"/>
      <c r="D96" s="1555"/>
      <c r="E96" s="1592" t="s">
        <v>184</v>
      </c>
      <c r="F96" s="1429" t="s">
        <v>526</v>
      </c>
      <c r="G96" s="1555"/>
      <c r="H96" s="1555"/>
      <c r="I96" s="1555"/>
      <c r="J96" s="1405"/>
      <c r="K96" s="216" t="s">
        <v>254</v>
      </c>
      <c r="L96" s="217" t="s">
        <v>256</v>
      </c>
      <c r="M96" s="1597" t="s">
        <v>734</v>
      </c>
      <c r="N96" s="1404"/>
      <c r="O96" s="1555"/>
      <c r="P96" s="1180" t="s">
        <v>781</v>
      </c>
      <c r="Q96" s="1180" t="s">
        <v>527</v>
      </c>
      <c r="R96" s="1557" t="s">
        <v>782</v>
      </c>
      <c r="S96" s="1158"/>
      <c r="T96" s="566" t="s">
        <v>188</v>
      </c>
      <c r="U96" s="1430" t="s">
        <v>242</v>
      </c>
      <c r="V96" s="806" t="s">
        <v>465</v>
      </c>
      <c r="W96" s="1374" t="s">
        <v>418</v>
      </c>
      <c r="X96" s="1166"/>
      <c r="Y96" s="1166"/>
      <c r="Z96" s="1405"/>
      <c r="AA96" s="586" t="s">
        <v>188</v>
      </c>
      <c r="AB96" s="586" t="s">
        <v>528</v>
      </c>
      <c r="AC96" s="586" t="s">
        <v>242</v>
      </c>
      <c r="AD96" s="586" t="s">
        <v>188</v>
      </c>
      <c r="AE96" s="586" t="s">
        <v>528</v>
      </c>
      <c r="AF96" s="563" t="s">
        <v>242</v>
      </c>
      <c r="AG96" s="573" t="s">
        <v>711</v>
      </c>
      <c r="AH96" s="573" t="s">
        <v>712</v>
      </c>
      <c r="AI96" s="573" t="s">
        <v>711</v>
      </c>
      <c r="AJ96" s="573" t="s">
        <v>712</v>
      </c>
      <c r="AK96" s="1409"/>
      <c r="AL96" s="1409"/>
      <c r="AM96" s="1553"/>
      <c r="AN96" s="1612"/>
      <c r="AO96" s="161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58"/>
      <c r="CU96" s="23"/>
      <c r="CV96" s="23"/>
      <c r="CW96" s="23"/>
      <c r="CY96" s="63"/>
      <c r="CZ96" s="63">
        <f t="shared" ref="CZ96:DE96" si="287">+CU76</f>
        <v>0</v>
      </c>
      <c r="DA96" s="63">
        <f t="shared" si="287"/>
        <v>0</v>
      </c>
      <c r="DB96" s="63" t="e">
        <f t="shared" si="287"/>
        <v>#VALUE!</v>
      </c>
      <c r="DC96" s="63" t="e">
        <f t="shared" si="287"/>
        <v>#VALUE!</v>
      </c>
      <c r="DD96" s="63" t="e">
        <f t="shared" si="287"/>
        <v>#VALUE!</v>
      </c>
      <c r="DE96" s="63" t="e">
        <f t="shared" si="287"/>
        <v>#VALUE!</v>
      </c>
      <c r="DF96" s="63"/>
      <c r="DG96" s="63"/>
      <c r="DH96" s="63">
        <f>+DC76</f>
        <v>0</v>
      </c>
      <c r="DI96" s="63"/>
      <c r="DJ96" s="63"/>
      <c r="DK96" s="63"/>
      <c r="DL96" s="63"/>
      <c r="DM96" s="63"/>
      <c r="DN96" s="63"/>
      <c r="DO96" s="63"/>
      <c r="DP96" s="63"/>
      <c r="DQ96" s="63">
        <f>+DL76</f>
        <v>1</v>
      </c>
      <c r="DR96" s="63"/>
      <c r="DS96" s="63">
        <f>+DN76</f>
        <v>0</v>
      </c>
      <c r="DT96" s="63"/>
      <c r="DU96" s="63"/>
      <c r="DV96" s="63"/>
      <c r="DW96" s="63"/>
      <c r="DX96" s="63"/>
      <c r="DY96" s="63"/>
      <c r="DZ96" s="63"/>
      <c r="EA96" s="63"/>
      <c r="EB96" s="63" t="e">
        <f>+#REF!</f>
        <v>#REF!</v>
      </c>
      <c r="EC96" s="63" t="e">
        <f>+#REF!</f>
        <v>#REF!</v>
      </c>
      <c r="ED96" s="63"/>
      <c r="EE96" s="63"/>
      <c r="EF96" s="63"/>
      <c r="EG96" s="63"/>
      <c r="EH96" s="63"/>
      <c r="EI96" s="63"/>
      <c r="EJ96" s="63"/>
      <c r="EO96" s="63" t="e">
        <f>+#REF!</f>
        <v>#REF!</v>
      </c>
      <c r="EP96" s="63"/>
      <c r="EQ96" s="3" t="s">
        <v>696</v>
      </c>
      <c r="ER96" s="63" t="s">
        <v>268</v>
      </c>
      <c r="ES96" s="63"/>
      <c r="ET96" s="63"/>
      <c r="EU96" s="63"/>
      <c r="EV96" s="63"/>
      <c r="EW96" s="63"/>
      <c r="EX96" s="63"/>
      <c r="EY96" s="63"/>
      <c r="EZ96" s="63"/>
      <c r="FA96" s="63"/>
      <c r="FB96" s="63"/>
      <c r="FC96" s="63"/>
      <c r="FD96" s="63"/>
      <c r="FE96" s="63"/>
      <c r="FF96" s="63" t="s">
        <v>707</v>
      </c>
      <c r="FG96" s="63"/>
      <c r="FH96" s="63" t="s">
        <v>703</v>
      </c>
      <c r="FI96" s="63"/>
      <c r="FJ96" s="63"/>
      <c r="FK96" s="130"/>
      <c r="FL96" s="63"/>
      <c r="FM96" s="63"/>
      <c r="FN96" s="63"/>
    </row>
    <row r="97" spans="2:186" ht="15.95" customHeight="1" thickBot="1" x14ac:dyDescent="0.2">
      <c r="B97" s="1514"/>
      <c r="C97" s="1604"/>
      <c r="D97" s="1556"/>
      <c r="E97" s="1181"/>
      <c r="F97" s="1556"/>
      <c r="G97" s="1556"/>
      <c r="H97" s="1556"/>
      <c r="I97" s="1556"/>
      <c r="J97" s="1549"/>
      <c r="K97" s="218" t="s">
        <v>255</v>
      </c>
      <c r="L97" s="219" t="s">
        <v>257</v>
      </c>
      <c r="M97" s="1549"/>
      <c r="N97" s="1598"/>
      <c r="O97" s="1556"/>
      <c r="P97" s="1181"/>
      <c r="Q97" s="1181"/>
      <c r="R97" s="1549"/>
      <c r="S97" s="1556"/>
      <c r="T97" s="567" t="s">
        <v>529</v>
      </c>
      <c r="U97" s="1181"/>
      <c r="V97" s="804" t="s">
        <v>784</v>
      </c>
      <c r="W97" s="567" t="s">
        <v>785</v>
      </c>
      <c r="X97" s="567" t="s">
        <v>786</v>
      </c>
      <c r="Y97" s="567" t="s">
        <v>530</v>
      </c>
      <c r="Z97" s="567" t="s">
        <v>654</v>
      </c>
      <c r="AA97" s="179" t="s">
        <v>531</v>
      </c>
      <c r="AB97" s="179" t="s">
        <v>532</v>
      </c>
      <c r="AC97" s="179" t="s">
        <v>533</v>
      </c>
      <c r="AD97" s="179" t="s">
        <v>531</v>
      </c>
      <c r="AE97" s="179" t="s">
        <v>532</v>
      </c>
      <c r="AF97" s="320" t="s">
        <v>533</v>
      </c>
      <c r="AG97" s="459" t="s">
        <v>534</v>
      </c>
      <c r="AH97" s="459" t="s">
        <v>535</v>
      </c>
      <c r="AI97" s="459" t="s">
        <v>534</v>
      </c>
      <c r="AJ97" s="459" t="s">
        <v>535</v>
      </c>
      <c r="AK97" s="1551"/>
      <c r="AL97" s="1551"/>
      <c r="AM97" s="1554"/>
      <c r="AN97" s="1614"/>
      <c r="AO97" s="1615"/>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85" t="s">
        <v>244</v>
      </c>
      <c r="CQ97" s="23"/>
      <c r="CR97" s="23"/>
      <c r="CT97" s="23" t="s">
        <v>242</v>
      </c>
      <c r="CU97" s="23"/>
      <c r="CV97" s="23"/>
      <c r="CW97" s="23"/>
      <c r="CX97" s="3" t="s">
        <v>718</v>
      </c>
      <c r="CY97" s="63"/>
      <c r="CZ97" s="86"/>
      <c r="DA97" s="86"/>
      <c r="DB97" s="86"/>
      <c r="DC97" s="86" t="e">
        <f>+#REF!</f>
        <v>#REF!</v>
      </c>
      <c r="DD97" s="86" t="e">
        <f>+#REF!</f>
        <v>#REF!</v>
      </c>
      <c r="DE97" s="86" t="e">
        <f>+#REF!</f>
        <v>#REF!</v>
      </c>
      <c r="DF97" s="86" t="e">
        <f>+#REF!</f>
        <v>#REF!</v>
      </c>
      <c r="DG97" s="86" t="e">
        <f>+#REF!</f>
        <v>#REF!</v>
      </c>
      <c r="DH97" s="86" t="e">
        <f>+#REF!</f>
        <v>#REF!</v>
      </c>
      <c r="DI97" s="86" t="e">
        <f>+#REF!</f>
        <v>#REF!</v>
      </c>
      <c r="DJ97" s="86" t="e">
        <f>+#REF!</f>
        <v>#REF!</v>
      </c>
      <c r="DK97" s="86" t="e">
        <f>+#REF!</f>
        <v>#REF!</v>
      </c>
      <c r="DL97" s="86" t="e">
        <f>+#REF!</f>
        <v>#REF!</v>
      </c>
      <c r="DM97" s="86" t="e">
        <f>+#REF!</f>
        <v>#REF!</v>
      </c>
      <c r="DN97" s="86" t="e">
        <f>+#REF!</f>
        <v>#REF!</v>
      </c>
      <c r="DO97" s="86" t="e">
        <f>+#REF!</f>
        <v>#REF!</v>
      </c>
      <c r="DP97" s="86" t="e">
        <f>+#REF!</f>
        <v>#REF!</v>
      </c>
      <c r="DQ97" s="86" t="e">
        <f>+#REF!</f>
        <v>#REF!</v>
      </c>
      <c r="DR97" s="86" t="e">
        <f>+#REF!</f>
        <v>#REF!</v>
      </c>
      <c r="DS97" s="86" t="e">
        <f>+#REF!</f>
        <v>#REF!</v>
      </c>
      <c r="DT97" s="86" t="e">
        <f>+#REF!</f>
        <v>#REF!</v>
      </c>
      <c r="DU97" s="86" t="e">
        <f>+#REF!</f>
        <v>#REF!</v>
      </c>
      <c r="DV97" s="86" t="e">
        <f>+#REF!</f>
        <v>#REF!</v>
      </c>
      <c r="DW97" s="86" t="e">
        <f>+#REF!</f>
        <v>#REF!</v>
      </c>
      <c r="DX97" s="86" t="e">
        <f>+#REF!</f>
        <v>#REF!</v>
      </c>
      <c r="DY97" s="86" t="e">
        <f>+#REF!</f>
        <v>#REF!</v>
      </c>
      <c r="DZ97" s="86" t="e">
        <f>+#REF!</f>
        <v>#REF!</v>
      </c>
      <c r="EA97" s="86" t="e">
        <f>+#REF!</f>
        <v>#REF!</v>
      </c>
      <c r="EB97" s="86" t="e">
        <f>+#REF!</f>
        <v>#REF!</v>
      </c>
      <c r="EC97" s="86" t="e">
        <f>+#REF!</f>
        <v>#REF!</v>
      </c>
      <c r="ED97" s="86" t="e">
        <f>+#REF!</f>
        <v>#REF!</v>
      </c>
      <c r="EE97" s="86" t="e">
        <f>+#REF!</f>
        <v>#REF!</v>
      </c>
      <c r="EF97" s="86" t="e">
        <f>+#REF!</f>
        <v>#REF!</v>
      </c>
      <c r="EG97" s="86" t="e">
        <f>+#REF!</f>
        <v>#REF!</v>
      </c>
      <c r="EH97" s="86"/>
      <c r="EI97" s="86"/>
      <c r="EJ97" s="86"/>
      <c r="EK97" s="86">
        <f>+CY97</f>
        <v>0</v>
      </c>
      <c r="EL97" s="86">
        <f>+DB97</f>
        <v>0</v>
      </c>
      <c r="EM97" s="52" t="s">
        <v>490</v>
      </c>
      <c r="EN97" s="52" t="s">
        <v>708</v>
      </c>
      <c r="EO97" s="86" t="e">
        <f>+#REF!</f>
        <v>#REF!</v>
      </c>
      <c r="EP97" s="86" t="e">
        <f>+#REF!</f>
        <v>#REF!</v>
      </c>
      <c r="EQ97" s="86" t="e">
        <f>+#REF!</f>
        <v>#REF!</v>
      </c>
      <c r="ER97" s="52" t="s">
        <v>488</v>
      </c>
      <c r="ES97" s="52" t="s">
        <v>491</v>
      </c>
      <c r="ET97" s="86" t="e">
        <f>+DF97</f>
        <v>#REF!</v>
      </c>
      <c r="EU97" s="86" t="e">
        <f>+DI97</f>
        <v>#REF!</v>
      </c>
      <c r="EV97" s="86" t="s">
        <v>18</v>
      </c>
      <c r="EW97" s="86" t="e">
        <f>+DG97</f>
        <v>#REF!</v>
      </c>
      <c r="EX97" s="86" t="e">
        <f>+DJ97</f>
        <v>#REF!</v>
      </c>
      <c r="EY97" s="86" t="e">
        <f>+EG97</f>
        <v>#REF!</v>
      </c>
      <c r="EZ97" s="86"/>
      <c r="FA97" s="86"/>
      <c r="FB97" s="86"/>
      <c r="FC97" s="86" t="s">
        <v>253</v>
      </c>
      <c r="FD97" s="588" t="s">
        <v>704</v>
      </c>
      <c r="FE97" s="588" t="s">
        <v>705</v>
      </c>
      <c r="FF97" s="588" t="s">
        <v>704</v>
      </c>
      <c r="FG97" s="588" t="s">
        <v>705</v>
      </c>
      <c r="FH97" s="129" t="s">
        <v>706</v>
      </c>
      <c r="FI97" s="129" t="s">
        <v>706</v>
      </c>
      <c r="FJ97" s="78"/>
      <c r="FK97" s="78"/>
      <c r="FL97" s="78"/>
      <c r="FM97" s="2"/>
      <c r="FN97" s="2"/>
      <c r="FO97" s="2"/>
      <c r="FP97" s="2"/>
      <c r="FQ97" s="2"/>
      <c r="FR97" s="2"/>
      <c r="FS97" s="2"/>
      <c r="FT97" s="2"/>
      <c r="FU97" s="2"/>
      <c r="FV97" s="2"/>
      <c r="FW97" s="2"/>
      <c r="FX97" s="2"/>
      <c r="FY97" s="2"/>
      <c r="FZ97" s="2"/>
      <c r="GA97" s="2"/>
      <c r="GB97" s="2"/>
    </row>
    <row r="98" spans="2:186" ht="15.95" customHeight="1" thickBot="1" x14ac:dyDescent="0.2">
      <c r="B98" s="1514"/>
      <c r="C98" s="1498" t="s">
        <v>836</v>
      </c>
      <c r="D98" s="1501" t="s">
        <v>714</v>
      </c>
      <c r="E98" s="296"/>
      <c r="F98" s="572" t="str">
        <f>IF(E98=0,"",ROUND(SQRT(COS(DW98*1.5*PI()/180)),3))</f>
        <v/>
      </c>
      <c r="G98" s="1358"/>
      <c r="H98" s="1358"/>
      <c r="I98" s="1358"/>
      <c r="J98" s="1608"/>
      <c r="K98" s="131"/>
      <c r="L98" s="132"/>
      <c r="M98" s="314" t="s">
        <v>259</v>
      </c>
      <c r="N98" s="1146"/>
      <c r="O98" s="1569"/>
      <c r="P98" s="1125"/>
      <c r="Q98" s="197">
        <f>+IF(P98=0,0,"×")</f>
        <v>0</v>
      </c>
      <c r="R98" s="245">
        <f>IF(P98=0,0,+FP98)</f>
        <v>0</v>
      </c>
      <c r="S98" s="1123"/>
      <c r="T98" s="246" t="str">
        <f>IF(AA98=+"","",IF(AND(AA98&lt;=1,AB98&lt;=1,AD98&lt;=1,AE98&lt;=1),"OK!","NO!"))</f>
        <v/>
      </c>
      <c r="U98" s="246">
        <f>IF(W98=0,0,IF(IF(AC98&gt;=AF98,AC98,AF98)&lt;=1,"OK!","NO!"))</f>
        <v>0</v>
      </c>
      <c r="V98" s="826"/>
      <c r="W98" s="161"/>
      <c r="X98" s="202">
        <f>IF(W98=0,0,+CT98)</f>
        <v>0</v>
      </c>
      <c r="Y98" s="202">
        <f>IF(X98=0,0,ROUND(POWER(W98*X98,2)/(P98/10*IF(V98=0,R98/10,V98/10)),2))</f>
        <v>0</v>
      </c>
      <c r="Z98" s="203" t="str">
        <f>IF(EM98&gt;=EN98,EM98,EN98)</f>
        <v/>
      </c>
      <c r="AA98" s="203" t="str">
        <f>IF(R98=0,"",ROUNDUP(DE98/DM98,2))</f>
        <v/>
      </c>
      <c r="AB98" s="203" t="str">
        <f>IF(R98=0,"",ROUND(DF98/DT98,2))</f>
        <v/>
      </c>
      <c r="AC98" s="203" t="str">
        <f>IF(W98=0,"",ROUND(DG98/DO98,2))</f>
        <v/>
      </c>
      <c r="AD98" s="203" t="str">
        <f>IF(R98=0,"",ROUNDUP(DH98/DN98,2))</f>
        <v/>
      </c>
      <c r="AE98" s="203" t="str">
        <f>IF(R98=0,"",ROUNDUP(DI98/DZ98,2))</f>
        <v/>
      </c>
      <c r="AF98" s="203" t="str">
        <f>IF(W98=0,"",ROUNDUP(DJ98/DP98,2))</f>
        <v/>
      </c>
      <c r="AG98" s="315"/>
      <c r="AH98" s="316"/>
      <c r="AI98" s="315"/>
      <c r="AJ98" s="315"/>
      <c r="AK98" s="202">
        <f>IF(AH98=0,0,ROUND(AG98*AH98+AI98*AJ98,2))</f>
        <v>0</v>
      </c>
      <c r="AL98" s="202" t="str">
        <f>IF(AH98=0,"",IF(EH98&gt;=EJ98,EH98+EZ98,EJ98+FB98))</f>
        <v/>
      </c>
      <c r="AM98" s="250" t="str">
        <f>IF(AL98=+"","",IF(AL98&lt;=1,"OK!","NO!"))</f>
        <v/>
      </c>
      <c r="AN98" s="182">
        <f>+IF(I98=0,0,"1/")</f>
        <v>0</v>
      </c>
      <c r="AO98" s="293">
        <f>IF(I98=0,0,+DS98)</f>
        <v>0</v>
      </c>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9" t="e">
        <f>ROUNDUP((DC98*I98*100/2*3/2/DQ98)+GD98/DQ98+IF(J98=0,0,IF(VALUE(RIGHT(J98,4))=1,EO98/DQ98,0)),2)</f>
        <v>#VALUE!</v>
      </c>
      <c r="CQ98" s="9" t="e">
        <f>ROUNDUP((DD98*I98*100/2*3/2/DR98)+GD98/DR98+IF(J98=0,0,IF(VALUE(RIGHT(J98,4))=1,EP98/DR98,0)),2)</f>
        <v>#VALUE!</v>
      </c>
      <c r="CR98" s="23" t="e">
        <f>IF(CP98&gt;=CQ98,CP98,CQ98)</f>
        <v>#VALUE!</v>
      </c>
      <c r="CS98" s="23" t="e">
        <f>IF(CP98&gt;=CQ98,CP98,CQ98)</f>
        <v>#VALUE!</v>
      </c>
      <c r="CT98" s="9">
        <f>IF(R98=0,0,ROUNDUP(SQRT((Z98*P98/10*IF(V98=0,R98/10,V98/10))/(W98*W98)),2))</f>
        <v>0</v>
      </c>
      <c r="CU98" s="9"/>
      <c r="CV98" s="23"/>
      <c r="CW98" s="23" t="s">
        <v>717</v>
      </c>
      <c r="CX98" s="3" t="e">
        <f>VLOOKUP(VALUE(RIGHT(O98,4)),許容応力!$B$6:$K$22,10)</f>
        <v>#VALUE!</v>
      </c>
      <c r="CY98" s="63"/>
      <c r="CZ98" s="87">
        <f>ROUNDUP(IF(VALUE(RIGHT($G$3,3))=1,DA98*0.7,0),0)</f>
        <v>0</v>
      </c>
      <c r="DA98" s="87" t="e">
        <f>ROUNDUP(IF(VALUE(RIGHT($G$3,4))=1,$I$3*30*F98*100,$I$3*20*F98*100),0)</f>
        <v>#VALUE!</v>
      </c>
      <c r="DB98" s="87"/>
      <c r="DC98" s="87" t="e">
        <f>ROUNDUP(IF(VALUE(RIGHT($F99,4))=1,(準備!$G$60/100+準備!$D$48/100),(準備!$G$15/100+準備!$D$48/100+IF(N99=0,CZ98/100,0)))*($G98+$H98)/2,2)+IF($N99=0,0,$EQ98)</f>
        <v>#VALUE!</v>
      </c>
      <c r="DD98" s="87" t="e">
        <f>ROUNDUP(IF(VALUE(RIGHT($F99,4))=1,(準備!$G$60/100+6),(準備!$G$15/100+6+$DA98/100))*($G98+$H98)/2,2)+IF($N99=0,0,EQ98)</f>
        <v>#VALUE!</v>
      </c>
      <c r="DE98" s="87" t="e">
        <f>ROUNDUP($I98*100*($DC98*$I98*100+2*($GD98+IF(J98=0,0,IF(VALUE(RIGHT($J98,4))=1,$EO98,0))))/2/$DK98,1)</f>
        <v>#VALUE!</v>
      </c>
      <c r="DF98" s="87" t="e">
        <f>ABS(ROUNDUP((3*$DC98*POWER($I98*100,4)+$DC98*$I98*100*$I100*100*(4*POWER($I98*100,2)-POWER($I100*100,2))+8*($GD98+IF(J98=0,0,IF(VALUE(RIGHT($J98,4))=1,$EO98*POWER($I98*100,2)*($I98*100+$I100*100),0))))/(24*$CX98*$DL98*100),2))</f>
        <v>#VALUE!</v>
      </c>
      <c r="DG98" s="87" t="e">
        <f>ROUND(($DC98*$I98*100+(GD98+IF(J98=0,0,IF(VALUE(RIGHT($J98,4))=1,$EO98,0))))/($Y98*3*2),1)</f>
        <v>#VALUE!</v>
      </c>
      <c r="DH98" s="87" t="e">
        <f>ROUNDUP($I98*100*($DD98*$I98*100+2*($GD98+IF(J98=0,0,IF(VALUE(RIGHT($J98,4))=1,$EP98,0))))/2/$DK98,1)</f>
        <v>#VALUE!</v>
      </c>
      <c r="DI98" s="87" t="e">
        <f>ABS(ROUNDUP((3*$DD98*POWER($I98*100,4)+$DD98*$I98*100*$I100*100*(4*POWER($I98*100,2)-POWER($I100*100,2))+8*($GD98+IF(J98=0,0,IF(VALUE(RIGHT($J98,4))=1,$EP98*POWER($I98*100,2)*($I98*100+$I100*100),0))))/(24*$CX98*$DL98*100),2))</f>
        <v>#VALUE!</v>
      </c>
      <c r="DJ98" s="87" t="e">
        <f>ROUND(($DD98*$I98*100+GD98+IF(J98=0,0,IF(VALUE(RIGHT($J98,4))=1,$EP98,0)))/($Y98*3*2),1)</f>
        <v>#VALUE!</v>
      </c>
      <c r="DK98" s="87">
        <f>ROUNDDOWN($P98/10*POWER($R98/10,2)/6*IF(OR($S98=0,$S98=1),1,$S98),0)</f>
        <v>0</v>
      </c>
      <c r="DL98" s="87">
        <f>ROUNDDOWN($P98/10*POWER($R98/10,3)/12*IF(OR($S98=0,$S$98=1),1,$S98),0)</f>
        <v>0</v>
      </c>
      <c r="DM98" s="88" t="e">
        <f>IF($DN$6=2,ROUND(VLOOKUP(DV98,許容応力!$B$6:$K$22,7)*1.1/3*100,0),ROUND(VLOOKUP(DV98,許容応力!$B$6:$K$22,7)*1.1/3*1.3*100,0))</f>
        <v>#VALUE!</v>
      </c>
      <c r="DN98" s="87" t="e">
        <f>ROUND(VLOOKUP(DV98,許容応力!$B$6:$K$22,7)*100*2/3*0.8,0)</f>
        <v>#VALUE!</v>
      </c>
      <c r="DO98" s="88" t="e">
        <f>IF($DN$6=2,ROUND(VLOOKUP(DV98,許容応力!$B$6:$K$22,8)*1.1/3*100,0),ROUND(VLOOKUP(DV98,許容応力!$B$6:$K$22,8)*1.1/3*1.3*100,0))</f>
        <v>#VALUE!</v>
      </c>
      <c r="DP98" s="87" t="e">
        <f>ROUND(VLOOKUP(DV98,許容応力!$B$6:$K$22,8)*100*2/3*0.8,0)</f>
        <v>#VALUE!</v>
      </c>
      <c r="DQ98" s="88" t="e">
        <f>IF($DN$6=2,ROUND(VLOOKUP(DV98,許容応力!$B$6:$K$22,9)*1.1/3*100,0),ROUND(VLOOKUP(DV98,許容応力!$B$6:$K$22,9)*1.1/3*100*1.3,0))</f>
        <v>#VALUE!</v>
      </c>
      <c r="DR98" s="87" t="e">
        <f>ROUND(VLOOKUP(DV98,許容応力!$B$6:$K$22,9)*100*2/3*0.8,0)</f>
        <v>#VALUE!</v>
      </c>
      <c r="DS98" s="87">
        <v>600</v>
      </c>
      <c r="DT98" s="87">
        <f>ROUND(I98*100/DS98,2)</f>
        <v>0</v>
      </c>
      <c r="DU98" s="87"/>
      <c r="DV98" s="87" t="e">
        <f>+VALUE(RIGHT(O98,3))</f>
        <v>#VALUE!</v>
      </c>
      <c r="DW98" s="89">
        <f>ROUND(ATAN(E98/10)*180/PI(),4)</f>
        <v>0</v>
      </c>
      <c r="DX98" s="90">
        <f>ROUND(COS(DW98*PI()/180),3)</f>
        <v>1</v>
      </c>
      <c r="DY98" s="87">
        <v>225</v>
      </c>
      <c r="DZ98" s="87">
        <f>ROUND(I98*100/DY98,2)</f>
        <v>0</v>
      </c>
      <c r="EA98" s="87"/>
      <c r="EB98" s="87" t="e">
        <f>ROUNDUP((準備!$G$60/100+準備!$E$48/100)*($G98+$H98)/2,2)+IF(J98=0,0,IF(VALUE(RIGHT($J98,4))=1,$EQ98,0))</f>
        <v>#N/A</v>
      </c>
      <c r="EC98" s="87"/>
      <c r="ED98" s="87"/>
      <c r="EE98" s="87"/>
      <c r="EF98" s="87"/>
      <c r="EG98" s="87" t="e">
        <f>ROUND(DC98*I98*100/2/AK98,1)</f>
        <v>#VALUE!</v>
      </c>
      <c r="EH98" s="87" t="e">
        <f>ROUND(EG98/DQ98,2)</f>
        <v>#VALUE!</v>
      </c>
      <c r="EI98" s="87" t="e">
        <f>ROUND(DD98*I98*100/2/AK98,1)</f>
        <v>#VALUE!</v>
      </c>
      <c r="EJ98" s="87" t="e">
        <f>ROUND(EI98/DR98,2)</f>
        <v>#VALUE!</v>
      </c>
      <c r="EK98" s="63" t="e">
        <f>IF(ES98=2,0,ROUNDUP(IF(F98&gt;=F99,F98,F99)*EC98/#REF!,2))</f>
        <v>#VALUE!</v>
      </c>
      <c r="EL98" s="63" t="e">
        <f>IF(ES98=2,0,ROUNDUP(IF(F98&gt;=F99,F98,F99)*ED98/#REF!,2))</f>
        <v>#VALUE!</v>
      </c>
      <c r="EM98" s="87" t="str">
        <f>IF(E98=0,"",ROUND(DC98*I98*100/2/DO98,1))</f>
        <v/>
      </c>
      <c r="EN98" s="87" t="str">
        <f>IF(E98=0,"",ROUND(DD98*I98*100/2/DP98,1))</f>
        <v/>
      </c>
      <c r="EO98" s="87">
        <f>IF($L98=0,0,ROUNDUP((準備!$G$57/$DX98+IF(AND(VALUE(RIGHT($G$3,4))=1,$T$3=2),$CZ98/$DX98*1.2,$CZ98/$DX98))*($K98+$K99)/2*($L98+$L99)/2,0))</f>
        <v>0</v>
      </c>
      <c r="EP98" s="87">
        <f>IF(L98=0,0,ROUNDUP((準備!$G$57/DX98+IF(AND(VALUE(RIGHT($G$3,4))=1,$T$3=2),DA98/DX98*1.2,DA98/DX98))*(K98+K99)/2*(L98+L99)/2,0))</f>
        <v>0</v>
      </c>
      <c r="EQ98" s="63">
        <f>IF($N99=0,0,ROUND(VLOOKUP(VALUE(RIGHT($N98,4)),$M$600:$O$605,3)/10000*N99*100,2))</f>
        <v>0</v>
      </c>
      <c r="ER98" s="63">
        <f>IF(J98=0,0,IF(VALUE(RIGHT(J98,4))=2,0,ROUNDUP(J102*100*J103*100/(I98*100)*EO98/DK98,1)))</f>
        <v>0</v>
      </c>
      <c r="ES98" s="63">
        <f>IF(FC98=2,0,ROUNDUP(J102*J103/I98*100*EP98/DK98,1))</f>
        <v>0</v>
      </c>
      <c r="ET98" s="63">
        <f>IF(FC98=2,0,IF(FC98=0,0,ROUNDUP(EO98*IF(J102&gt;=J103,J102,J103)*SQRT(POWER(ABS(POWER(J102,2)-POWER(J103,2)),3)/(9*SQRT(3)*EV98*DL98*I98)),2)))</f>
        <v>0</v>
      </c>
      <c r="EU98" s="63">
        <f>IF(FC98=2,0,ROUNDUP(EP98*IF(J102&gt;=J103,J102,J103)*SQRT(POWER(ABS(POWER(J102,2)-POWER(J103,2)),3)/(9*SQRT(3)*EV98*DL98*I98)),2))</f>
        <v>0</v>
      </c>
      <c r="EV98" s="63" t="e">
        <f>+VLOOKUP(DV98,許容応力!$B$6:$K$22,10)*100</f>
        <v>#VALUE!</v>
      </c>
      <c r="EW98" s="63">
        <f>+$GD98+IF(J98=0,0,IF(VALUE(RIGHT($J98,4))=1,$EO98,0))</f>
        <v>0</v>
      </c>
      <c r="EX98" s="63">
        <f>+$GD$98+IF(J98=0,0,IF(VALUE(RIGHT($J98,4))=1,$EP98,0))</f>
        <v>0</v>
      </c>
      <c r="EY98" s="63" t="e">
        <f>ROUND(EW98/AK98,1)</f>
        <v>#DIV/0!</v>
      </c>
      <c r="EZ98" s="63" t="e">
        <f>ROUND(EY98/DQ98,2)</f>
        <v>#DIV/0!</v>
      </c>
      <c r="FA98" s="63" t="e">
        <f>ROUND(EX98/AK98,1)</f>
        <v>#DIV/0!</v>
      </c>
      <c r="FB98" s="63" t="e">
        <f>ROUND(FA98/DR98,2)</f>
        <v>#DIV/0!</v>
      </c>
      <c r="FC98" s="63">
        <f>IF(J98=0,2,+VALUE(RIGHT(J98,3)))</f>
        <v>2</v>
      </c>
      <c r="FD98" s="63">
        <f>IF($DN$6=2,400,200)</f>
        <v>200</v>
      </c>
      <c r="FE98" s="63">
        <f>ROUND(I98*100/FD98,2)</f>
        <v>0</v>
      </c>
      <c r="FF98" s="63">
        <v>200</v>
      </c>
      <c r="FG98" s="63">
        <f>ROUND(I98*100/FF98,2)</f>
        <v>0</v>
      </c>
      <c r="FH98" s="78" t="e">
        <f>ROUND(ET98/FE98,1)</f>
        <v>#DIV/0!</v>
      </c>
      <c r="FI98" s="78" t="e">
        <f>ROUND(EU98/FG98,1)</f>
        <v>#DIV/0!</v>
      </c>
      <c r="FJ98" s="78"/>
      <c r="FK98" s="63" t="e">
        <f>IF(FR98&lt;21,21,IF(AND(FR98&gt;21,FR98&lt;=24),24,IF(AND(FR98&gt;30,FR98&lt;=40),40,IF(AND(FR98&gt;40,FR98&lt;=45),45,IF(AND(FR98&gt;60,FR98&lt;=75),75,IF(AND(FR98&gt;90,FR98&lt;=105),105,IF(AND(FR98&gt;120,FR98&lt;=135),135,ROUNDUP(FR98/3,-1)*3)))))))</f>
        <v>#VALUE!</v>
      </c>
      <c r="FL98" s="63" t="e">
        <f>IF(FS98&lt;21,21,IF(AND(FS98&gt;21,FS98&lt;=24),24,IF(AND(FS98&gt;30,FS98&lt;=40),40,IF(AND(FS98&gt;40,FS98&lt;=45),45,IF(AND(FS98&gt;60,FS98&lt;=75),75,IF(AND(FS98&gt;90,FS98&lt;=105),105,IF(AND(FS98&gt;120,FS98&lt;=135),135,ROUNDUP(FS98/3,-1)*3)))))))</f>
        <v>#VALUE!</v>
      </c>
      <c r="FN98" s="63" t="e">
        <f>IF(FU98&lt;21,21,IF(AND(FU98&gt;21,FU98&lt;=24),24,IF(AND(FU98&gt;30,FU98&lt;=40),40,IF(AND(FU98&gt;40,FU98&lt;=45),45,IF(AND(FU98&gt;60,FU98&lt;=75),75,IF(AND(FU98&gt;90,FU98&lt;=105),105,IF(AND(FU98&gt;120,FU98&lt;=135),135,ROUNDUP(FU98/3,-1)*3)))))))</f>
        <v>#VALUE!</v>
      </c>
      <c r="FO98" s="63" t="e">
        <f>IF(FV98&lt;21,21,IF(AND(FV98&gt;21,FV98&lt;=24),24,IF(AND(FV98&gt;30,FV98&lt;=40),40,IF(AND(FV98&gt;40,FV98&lt;=45),45,IF(AND(FV98&gt;60,FV98&lt;=75),75,IF(AND(FV98&gt;90,FV98&lt;=105),105,IF(AND(FV98&gt;120,FV98&lt;=135),135,ROUNDUP(FV98/3,-1)*3)))))))</f>
        <v>#VALUE!</v>
      </c>
      <c r="FP98" s="155" t="e">
        <f>+MAX(FK98:FO98)</f>
        <v>#VALUE!</v>
      </c>
      <c r="FQ98" s="2"/>
      <c r="FR98" s="87" t="e">
        <f>ROUND(SQRT(FX98/($P100/10)*6/IF(OR($S100=0,$S100=1),1,$S100))*10,0)</f>
        <v>#VALUE!</v>
      </c>
      <c r="FS98" s="87" t="e">
        <f>POWER(ROUND(FY98/($P100/10)*12/IF(OR($S100=0,$S100=1),1,$S100),0),1/3)*10</f>
        <v>#VALUE!</v>
      </c>
      <c r="FU98" s="87" t="e">
        <f>ROUND(SQRT(GA98/($P100/10)*6/IF(OR($S100=0,$S100=1),1,$S100))*10,0)</f>
        <v>#VALUE!</v>
      </c>
      <c r="FV98" s="87" t="e">
        <f>POWER(ROUND(GB98/($P100/10)*12/IF(OR($S100=0,$S100=1),1,$S100),0),1/3)*10</f>
        <v>#VALUE!</v>
      </c>
      <c r="FW98" s="2"/>
      <c r="FX98" s="87" t="e">
        <f>ROUNDUP($I98*100*($DC98*$I98*100+2*($GD98+IF(J98=0,0,IF(VALUE(RIGHT($J98,4))=1,$EO98,0))))/2/$DM98,1)</f>
        <v>#VALUE!</v>
      </c>
      <c r="FY98" s="87" t="e">
        <f>ABS(ROUNDUP((3*$DC98*POWER($I98*100,4)+$DC98*$I98*100*$I100*100*(4*POWER($I98*100,2)-POWER($I100*100,2))+8*($GD98+IF(J98=0,0,IF(VALUE(RIGHT($J98,4))=1,$EO98*POWER($I98*100,2)*($I98*100+$I100*100),0))))/(24*$CX98*$DT98*100),2))</f>
        <v>#VALUE!</v>
      </c>
      <c r="FZ98" s="87"/>
      <c r="GA98" s="87" t="e">
        <f>ROUNDUP($I98*100*($DD98*$I98*100+2*($GD98+IF(J98=0,0,IF(VALUE(RIGHT($J98,4))=1,$EP98,0))))/2/$DN98,1)</f>
        <v>#VALUE!</v>
      </c>
      <c r="GB98" s="87" t="e">
        <f>ABS(ROUNDUP((3*$DD98*POWER($I98*100,4)+$DD98*$I98*100*$I100*100*(4*POWER($I98*100,2)-POWER($I100*100,2))+8*($GD98+IF(J98=0,0,IF(VALUE(RIGHT($J98,4))=1,$EP98*POWER($I98*100,2)*($I98*100+$I100*100),0))))/(24*$CX98*$DZ98*100),2))</f>
        <v>#VALUE!</v>
      </c>
      <c r="GD98" s="63">
        <f>IF($J103=0,0,VLOOKUP(VALUE(RIGHT($J$102,4)),$M$600:$O$605,3)/10000*(N102+N103)/2*100*J103*100)</f>
        <v>0</v>
      </c>
    </row>
    <row r="99" spans="2:186" ht="15.95" customHeight="1" x14ac:dyDescent="0.15">
      <c r="B99" s="1514"/>
      <c r="C99" s="1499"/>
      <c r="D99" s="1502"/>
      <c r="E99" s="583" t="s">
        <v>716</v>
      </c>
      <c r="F99" s="1131"/>
      <c r="G99" s="1359"/>
      <c r="H99" s="1359"/>
      <c r="I99" s="1359"/>
      <c r="J99" s="1609"/>
      <c r="K99" s="212"/>
      <c r="L99" s="213"/>
      <c r="M99" s="310" t="s">
        <v>263</v>
      </c>
      <c r="N99" s="301"/>
      <c r="O99" s="1575"/>
      <c r="P99" s="1193">
        <f>+IF(O98=0,0,"丸太末口 φ")</f>
        <v>0</v>
      </c>
      <c r="Q99" s="1194"/>
      <c r="R99" s="239">
        <f>IF(O98=0,0,+FP99)</f>
        <v>0</v>
      </c>
      <c r="S99" s="1120"/>
      <c r="T99" s="240" t="str">
        <f>IF(AA99=+"","",IF(AND(AA99&lt;=1,AB99&lt;=1,AD99&lt;=1,AE99&lt;=1),"OK!","NO!"))</f>
        <v/>
      </c>
      <c r="U99" s="240">
        <f>IF(W99=0,0,IF(IF(AC99&gt;=AF99,AC99,AF99)&lt;=1,"OK!","NO!"))</f>
        <v>0</v>
      </c>
      <c r="V99" s="827"/>
      <c r="W99" s="159"/>
      <c r="X99" s="205">
        <f>IF(W99=0,0,+CT99)</f>
        <v>0</v>
      </c>
      <c r="Y99" s="205" t="str">
        <f>IF(X99=0,"",ROUND(POWER(W99*X99,2)/(IF(V99=0,(R99/10-6)*(R99/10-3),(V99/10-6)*(V99/10-3))),2))</f>
        <v/>
      </c>
      <c r="Z99" s="206" t="str">
        <f>IF(EM99&gt;=EN99,EM99,EN99)</f>
        <v/>
      </c>
      <c r="AA99" s="206" t="str">
        <f>IF(R99=0,"",ROUNDUP(DE99/DM99,2))</f>
        <v/>
      </c>
      <c r="AB99" s="206" t="str">
        <f>IF(R99=0,"",ROUND(DF99/DT99,2))</f>
        <v/>
      </c>
      <c r="AC99" s="206" t="str">
        <f>IF(W99=0,"",ROUND(DG99/DO99,2))</f>
        <v/>
      </c>
      <c r="AD99" s="206" t="str">
        <f>IF(R99=0,"",ROUNDUP(DH99/DN99,2))</f>
        <v/>
      </c>
      <c r="AE99" s="206" t="str">
        <f>IF(R99=0,"",ROUNDUP(DI99/DZ99,2))</f>
        <v/>
      </c>
      <c r="AF99" s="206" t="str">
        <f>IF(W99=0,"",ROUNDUP(DJ99/DP99,2))</f>
        <v/>
      </c>
      <c r="AG99" s="333"/>
      <c r="AH99" s="333"/>
      <c r="AI99" s="334"/>
      <c r="AJ99" s="334"/>
      <c r="AK99" s="318">
        <f>IF(AH99=0,0,ROUND(AG99*AH99+AI99*AJ99,2))</f>
        <v>0</v>
      </c>
      <c r="AL99" s="318" t="str">
        <f>IF(AH99=0,"",IF(EH99&gt;=EJ99,EH99+EZ99,EJ99+FB99))</f>
        <v/>
      </c>
      <c r="AM99" s="248" t="str">
        <f>IF(AL99=+"","",IF(AL99&lt;=1,"OK!","NO!"))</f>
        <v/>
      </c>
      <c r="AN99" s="184">
        <f>+AN98</f>
        <v>0</v>
      </c>
      <c r="AO99" s="185">
        <f>+AO98</f>
        <v>0</v>
      </c>
      <c r="AP99" s="23"/>
      <c r="AQ99" s="23"/>
      <c r="CN99" s="23"/>
      <c r="CO99" s="23"/>
      <c r="CP99" s="9" t="e">
        <f>ROUNDUP((DC99*I98*100/2*4/3/DQ99)+GD99/DQ99+IF(J98=0,0,IF(VALUE(RIGHT(J98,4))=1,EO99/DQ99,0)),2)</f>
        <v>#VALUE!</v>
      </c>
      <c r="CQ99" s="9" t="e">
        <f>ROUNDUP((DD99*I98*100/2*4/3/DR99)+GD99/DR99+IF(J98=0,0,IF(VALUE(RIGHT(J98,4))=1,EP99/DR99,0)),2)</f>
        <v>#VALUE!</v>
      </c>
      <c r="CR99" s="23" t="e">
        <f>IF(CP99&gt;=CQ99,CP99,CQ99)</f>
        <v>#VALUE!</v>
      </c>
      <c r="CS99" s="23" t="e">
        <f>IF(CP99&gt;=CQ99,CP99,CQ99)</f>
        <v>#VALUE!</v>
      </c>
      <c r="CT99" s="9">
        <f>IF(R99=0,0,ROUNDUP(SQRT(IF(V99=0,(Z99*(R99/10-6)*(R99/10-3)),(Z99*(V99/10-6)*(V99/10-3)))/(W99*W99)),2))</f>
        <v>0</v>
      </c>
      <c r="CU99" s="9"/>
      <c r="CV99" s="23"/>
      <c r="CW99" s="23"/>
      <c r="CY99" s="63"/>
      <c r="CZ99" s="63">
        <f>ROUNDUP(IF(VALUE(RIGHT($G$3,3))=1,DA99*0.7,0),0)</f>
        <v>0</v>
      </c>
      <c r="DA99" s="63" t="e">
        <f>ROUNDUP(IF(VALUE(RIGHT($G$3,4))=1,$I$3*30*F98*100,$I$3*20*F98*100),0)</f>
        <v>#VALUE!</v>
      </c>
      <c r="DB99" s="63"/>
      <c r="DC99" s="87" t="e">
        <f>ROUNDUP(IF(VALUE(RIGHT($F99,4))=1,(準備!$G$60/100+準備!$D$48/100),(準備!$G$15/100+準備!$D$48/100+IF(N99=0,CZ99/100,0)))*($G98+$H98)/2,2)+IF($N99=0,0,$EQ99)</f>
        <v>#VALUE!</v>
      </c>
      <c r="DD99" s="87" t="e">
        <f>ROUNDUP(IF(VALUE(RIGHT($F99,4))=1,(準備!$G$60/100+6),(準備!$G$15/100+6+$DA98/100))*($G98+$H98)/2,2)+IF($N99=0,0,EQ99)</f>
        <v>#VALUE!</v>
      </c>
      <c r="DE99" s="63">
        <f>IF($R99=0,0,ROUNDUP($I98*100*($DC99*$I98*100+2*($GD99+IF(J98=0,0,IF(VALUE(RIGHT($J98,4))=1,$EO98,0))))/2/$DK99,1))</f>
        <v>0</v>
      </c>
      <c r="DF99" s="87" t="e">
        <f>ABS(ROUNDUP((3*$DC99*POWER($I98*100,4)+$DC99*$I98*100*$I100*100*(4*POWER($I98*100,2)-POWER($I100*100,2))+8*($GD98+IF(J98=0,0,IF(VALUE(RIGHT($J98,4))=1,$EO99*POWER($I98*100,2)*($I98*100+$I100*100),0))))/(24*$CX98*$DL99*100),2))</f>
        <v>#VALUE!</v>
      </c>
      <c r="DG99" s="87" t="e">
        <f>ROUND(($DC99*$I98*100+(GD98+IF(J98=0,0,IF(VALUE(RIGHT($J98,4))=1,$EO99,0))))/($Y99*3*2),1)</f>
        <v>#VALUE!</v>
      </c>
      <c r="DH99" s="63">
        <f>IF($R99=0,0,ROUNDUP($I98*100*($DD99*$I98*100+2*($GD98+IF(J98=0,0,IF(VALUE(RIGHT($J98,4))=1,$EP98,0))))/2/$DK99,1))</f>
        <v>0</v>
      </c>
      <c r="DI99" s="87" t="e">
        <f>ABS(ROUNDUP((3*$DD99*POWER($I98*100,4)+$DD99*$I98*100*$I100*100*(4*POWER($I98*100,2)-POWER($I100*100,2))+8*($GD98+IF(J98=0,0,IF(VALUE(RIGHT($J98,4))=1,$EP99*POWER($I98*100,2)*($I98*100+$I100*100),0))))/(24*$CX98*$DL99*100),2))</f>
        <v>#VALUE!</v>
      </c>
      <c r="DJ99" s="87" t="e">
        <f>ROUND(($DD99*$I98*100+GD98+IF(J98=0,0,IF(VALUE(RIGHT($J98,4))=1,$EP99,0)))/($Y99*3*2),1)</f>
        <v>#VALUE!</v>
      </c>
      <c r="DK99" s="63">
        <f>IF(R99&lt;180,ROUND((R99/10-3)*POWER(R99/10-3,2)/6*IF(S99=0,1,S99),0),ROUND((R99/10-5)*POWER(R99/10-3,2)/6*IF($S99=0,1,$S99),0))</f>
        <v>-5</v>
      </c>
      <c r="DL99" s="63">
        <f>ROUND(IF(R99&lt;180,(R99/10-3)*POWER((R99/10-3),3)/12*IF(S99=0,1,S99),(R99/10-5))*POWER((R99/10-3),3)/12*IF(S99=0,1,S99),0)</f>
        <v>-15</v>
      </c>
      <c r="DM99" s="10" t="e">
        <f>IF($DN$6=2,ROUND(VLOOKUP(DV99,許容応力!$L$6:$U$22,7)*1.1/3*100,0),ROUND(VLOOKUP(DV99,許容応力!$L$6:$U$22,7)*1.1/3*1.3*100,0))</f>
        <v>#VALUE!</v>
      </c>
      <c r="DN99" s="63" t="e">
        <f>ROUND(VLOOKUP(DV99,許容応力!$L$6:$U$22,7)*100*2/3*0.8,0)</f>
        <v>#VALUE!</v>
      </c>
      <c r="DO99" s="10" t="e">
        <f>IF($DN$6=2,ROUND(VLOOKUP(DV99,許容応力!$L$6:$U$22,8)*1.1/3*100,0),ROUND(VLOOKUP(DV99,許容応力!$L$6:$U$22,8)*1.1/3*1.3*100,0))</f>
        <v>#VALUE!</v>
      </c>
      <c r="DP99" s="63" t="e">
        <f>ROUND(VLOOKUP(DV99,許容応力!$L$6:$U$22,8)*100*2/3*0.8,0)</f>
        <v>#VALUE!</v>
      </c>
      <c r="DQ99" s="10" t="e">
        <f>IF($DN$6=2,ROUND(VLOOKUP(DV99,許容応力!$L$6:$U$22,9)*1.1/3*100,0),ROUND(VLOOKUP(DV99,許容応力!$L$6:$U$22,9)*1.1/3*1.3*100,0))</f>
        <v>#VALUE!</v>
      </c>
      <c r="DR99" s="63" t="e">
        <f>ROUND(VLOOKUP(DV99,許容応力!$L$6:$U$22,9)*100*2/3*0.8,0)</f>
        <v>#VALUE!</v>
      </c>
      <c r="DS99" s="63">
        <v>600</v>
      </c>
      <c r="DT99" s="63">
        <f>ROUND(I98*100/DS99,2)</f>
        <v>0</v>
      </c>
      <c r="DU99" s="63"/>
      <c r="DV99" s="78" t="e">
        <f>+VALUE(RIGHT(O98,3))</f>
        <v>#VALUE!</v>
      </c>
      <c r="DW99" s="69">
        <f>ROUND(ATAN(E98/10)*180/PI(),4)</f>
        <v>0</v>
      </c>
      <c r="DX99" s="70">
        <f>ROUND(COS(DW99*PI()/180),3)</f>
        <v>1</v>
      </c>
      <c r="DY99" s="63">
        <v>225</v>
      </c>
      <c r="DZ99" s="63">
        <f>ROUND(I98*100/DY99,2)</f>
        <v>0</v>
      </c>
      <c r="EA99" s="63"/>
      <c r="EB99" s="78" t="e">
        <f>ROUNDUP((準備!$G$60/100+準備!$E$48/100)*($G98+$H98)/2,2)+IF(J98=0,0,IF(VALUE(RIGHT($J98,4))=1,$EQ99,0))</f>
        <v>#N/A</v>
      </c>
      <c r="EC99" s="63"/>
      <c r="ED99" s="71">
        <f>IF(I98&lt;6,POWER(R99/10,2)*I98/10000,POWER((R99/10+(ROUNDDOWN(I98,0)-4)/2),2)*I98/10000)</f>
        <v>0</v>
      </c>
      <c r="EE99" s="63">
        <v>200</v>
      </c>
      <c r="EF99" s="84">
        <f>ROUND(ED99*EE99/100,0)</f>
        <v>0</v>
      </c>
      <c r="EG99" s="63" t="e">
        <f>ROUND((DC99*I98*100/2+EF99)/AK99,1)</f>
        <v>#VALUE!</v>
      </c>
      <c r="EH99" s="63" t="e">
        <f>ROUND(EG99/DQ99,2)</f>
        <v>#VALUE!</v>
      </c>
      <c r="EI99" s="63" t="e">
        <f>ROUND((DD99*I98*100/2+EF99)/AK99,1)</f>
        <v>#VALUE!</v>
      </c>
      <c r="EJ99" s="63" t="e">
        <f>ROUND(EI99/DR99,2)</f>
        <v>#VALUE!</v>
      </c>
      <c r="EK99" s="63" t="e">
        <f>ROUNDUP(IF(F98&gt;=F99,F98,F99)*EC99/#REF!,2)</f>
        <v>#VALUE!</v>
      </c>
      <c r="EL99" s="63" t="e">
        <f>ROUNDUP(IF(F98&gt;=F99,F98,F99)*ED99/#REF!,2)</f>
        <v>#VALUE!</v>
      </c>
      <c r="EM99" s="87" t="str">
        <f>IF(E98=0,"",ROUND(DC99*I98*100/2/DO99,1))</f>
        <v/>
      </c>
      <c r="EN99" s="87" t="str">
        <f>IF(E98=0,"",ROUND(DD99*I98*100/2/DP99,1))</f>
        <v/>
      </c>
      <c r="EO99" s="63">
        <f>IF(L98=0,0,ROUNDUP((準備!$G$57/DX99+IF(AND(VALUE(RIGHT($G$3,4))=1,$T$3=2),CZ99/DX99*1.2,CZ99/DX99))*(K98+K99)/2*(L98+L99)/2,0))</f>
        <v>0</v>
      </c>
      <c r="EP99" s="63">
        <f>IF(L98=0,0,ROUNDUP((準備!$G$57/DX99+IF(AND(VALUE(RIGHT($G$3,4))=1,$T$3=2),DA99/DX99*1.2,DA99/DX99))*(K98+K99)/2*(L98+L99)/2,0))</f>
        <v>0</v>
      </c>
      <c r="EQ99" s="63">
        <f>+EQ98</f>
        <v>0</v>
      </c>
      <c r="ER99" s="63">
        <f>IF(J98=0,0,IF(VALUE(RIGHT(J98,4))=2,0,ROUNDUP(J102*100*J103*100/(I98*100)*EO99/DK99,1)))</f>
        <v>0</v>
      </c>
      <c r="ES99" s="63" t="e">
        <f>IF(FC99=2,0,ROUNDUP(N270*J103/I98*100*EP99/DK99,1))</f>
        <v>#VALUE!</v>
      </c>
      <c r="ET99" s="63" t="e">
        <f>ROUNDUP(EO99*IF(J102&gt;=J103,J102*100,J103*100)*SQRT(POWER(ABS(POWER(J102,2)-POWER(J103,2)),3)/(9*SQRT(3)*EV99*DL99*I98)),2)</f>
        <v>#VALUE!</v>
      </c>
      <c r="EU99" s="63" t="e">
        <f>ROUNDUP(EP99*IF(J102&gt;=J103,J102*100,J103*100)*SQRT(POWER(ABS(POWER(J102,2)-POWER(J103,2)),3)/(9*SQRT(3)*EV99*DL99*I98)),2)</f>
        <v>#VALUE!</v>
      </c>
      <c r="EV99" s="63" t="e">
        <f>+VLOOKUP(DV99,許容応力!$L$6:$V$22,10)*100</f>
        <v>#VALUE!</v>
      </c>
      <c r="EW99" s="63">
        <f>+$GD98+IF(J98=0,0,IF(VALUE(RIGHT($J98,4))=1,$EO99,0))</f>
        <v>0</v>
      </c>
      <c r="EX99" s="63">
        <f>+$GD$98+IF(J98=0,0,IF(VALUE(RIGHT($J98,4))=1,$EP99,0))</f>
        <v>0</v>
      </c>
      <c r="EY99" s="63" t="e">
        <f>ROUND(EW99/AK99,1)</f>
        <v>#DIV/0!</v>
      </c>
      <c r="EZ99" s="63" t="e">
        <f>ROUND(EY99/DQ99,2)</f>
        <v>#DIV/0!</v>
      </c>
      <c r="FA99" s="63" t="e">
        <f>ROUND(EX99/AK99,1)</f>
        <v>#DIV/0!</v>
      </c>
      <c r="FB99" s="63" t="e">
        <f>ROUND(FA99/DR99,2)</f>
        <v>#DIV/0!</v>
      </c>
      <c r="FC99" s="63" t="e">
        <f>+VALUE(RIGHT(J98,3))</f>
        <v>#VALUE!</v>
      </c>
      <c r="FD99" s="63">
        <f>IF($DN$6=2,400,200)</f>
        <v>200</v>
      </c>
      <c r="FE99" s="63">
        <f>ROUND(I98*100/FD99,2)</f>
        <v>0</v>
      </c>
      <c r="FF99" s="78">
        <v>200</v>
      </c>
      <c r="FG99" s="63">
        <f>ROUND(I98*100/FF99,2)</f>
        <v>0</v>
      </c>
      <c r="FH99" s="78" t="e">
        <f>ROUND(ET99/FE99,1)</f>
        <v>#VALUE!</v>
      </c>
      <c r="FI99" s="78" t="e">
        <f>ROUND(EU99/FG99,1)</f>
        <v>#VALUE!</v>
      </c>
      <c r="FJ99" s="78"/>
      <c r="FK99" s="63" t="e">
        <f>IF(S99=0.8,VLOOKUP(FR99,$CR$395:$CS$439,2),IF(S99=0.9,VLOOKUP(FR99,$CR$348:$CS$394,2),VLOOKUP(FR99,$CR$301:$CS$344,2)))</f>
        <v>#VALUE!</v>
      </c>
      <c r="FL99" s="63" t="e">
        <f>IF(S99=0.8,VLOOKUP(FS99,$CT$395:$CU$439,2),IF(S99=0.9,VLOOKUP(FS99,$CT$348:$CU$394,2),VLOOKUP(FS99,$CT$301:$CU$344,2)))</f>
        <v>#VALUE!</v>
      </c>
      <c r="FN99" s="63" t="e">
        <f>IF(S99=0.8,VLOOKUP(FU99,$CR$395:$CS$439,2),IF(S99=0.9,VLOOKUP(FU99,$CR$348:$CS$394,2),VLOOKUP(FU99,$CR$301:$CS$344,2)))</f>
        <v>#VALUE!</v>
      </c>
      <c r="FO99" s="63" t="e">
        <f>IF(S99=0.8,VLOOKUP(FV99,$CT$395:$CU$439,2),IF(S99=0.9,VLOOKUP(FV99,$CT$348:$CU$394,2),VLOOKUP(FV99,$CT$301:$CU$344,2)))</f>
        <v>#VALUE!</v>
      </c>
      <c r="FP99" s="155" t="e">
        <f>+MAX(FK99:FO99)</f>
        <v>#VALUE!</v>
      </c>
      <c r="FQ99" s="2"/>
      <c r="FR99" s="63" t="e">
        <f>ROUNDUP($I98*100*($DC99*$I98*100+2*($GD99+IF(J98=0,0,IF(VALUE(RIGHT($J98,4))=1,$EO98,0))))/2/$DM99,1)</f>
        <v>#VALUE!</v>
      </c>
      <c r="FS99" s="87" t="e">
        <f>ABS(ROUNDUP((3*$DC99*POWER($I98*100,4)+$DC99*$I98*100*$I100*100*(4*POWER($I98*100,2)-POWER($I100*100,2))+8*($GD98+IF(J98=0,0,IF(VALUE(RIGHT($J98,4))=1,$EO99*POWER($I98*100,2)*($I98*100+$I100*100),0))))/(24*$CX98*$DT99*100),2))</f>
        <v>#VALUE!</v>
      </c>
      <c r="FT99" s="87"/>
      <c r="FU99" s="63" t="e">
        <f>ROUNDUP($I98*100*($DD99*$I98*100+2*($GD98+IF(J98=0,0,IF(VALUE(RIGHT($J98,4))=1,$EP98,0))))/2/$DN99,1)</f>
        <v>#VALUE!</v>
      </c>
      <c r="FV99" s="87" t="e">
        <f>ABS(ROUNDUP((3*$DD99*POWER($I98*100,4)+$DD99*$I98*100*$I100*100*(4*POWER($I98*100,2)-POWER($I100*100,2))+8*($GD98+IF(J98=0,0,IF(VALUE(RIGHT($J98,4))=1,$EP99*POWER($I98*100,2)*($I98*100+$I100*100),0))))/(24*$CX98*$DZ99*100),2))</f>
        <v>#VALUE!</v>
      </c>
      <c r="FW99" s="2"/>
      <c r="FX99" s="2"/>
      <c r="FY99" s="2"/>
      <c r="FZ99" s="2"/>
      <c r="GA99" s="2"/>
      <c r="GB99" s="2"/>
      <c r="GD99" s="63">
        <f>+GD98</f>
        <v>0</v>
      </c>
    </row>
    <row r="100" spans="2:186" ht="15.95" customHeight="1" thickBot="1" x14ac:dyDescent="0.2">
      <c r="B100" s="1514"/>
      <c r="C100" s="1499"/>
      <c r="D100" s="1376" t="s">
        <v>715</v>
      </c>
      <c r="E100" s="1509">
        <f>+E98</f>
        <v>0</v>
      </c>
      <c r="F100" s="1510" t="str">
        <f>IF(E100=0,"",ROUND(SQRT(COS(DW100*1.5*PI()/180)),3))</f>
        <v/>
      </c>
      <c r="G100" s="1359"/>
      <c r="H100" s="1359"/>
      <c r="I100" s="1359"/>
      <c r="J100" s="303"/>
      <c r="K100" s="302"/>
      <c r="L100" s="302"/>
      <c r="M100" s="309" t="s">
        <v>259</v>
      </c>
      <c r="N100" s="1147"/>
      <c r="O100" s="1598">
        <f>+O98</f>
        <v>0</v>
      </c>
      <c r="P100" s="305">
        <f>+P98</f>
        <v>0</v>
      </c>
      <c r="Q100" s="195">
        <f>+IF(P100=0,0,"×")</f>
        <v>0</v>
      </c>
      <c r="R100" s="237">
        <f>IF(P100=0,0,+FP100)</f>
        <v>0</v>
      </c>
      <c r="S100" s="1119"/>
      <c r="T100" s="238" t="str">
        <f>IF(AA100=+"","",IF(AND(AA100&lt;=1,AB100&lt;=1,AD100&lt;=1,AE100&lt;=1),"OK!","NO!"))</f>
        <v/>
      </c>
      <c r="U100" s="238">
        <f>IF(W100=0,0,IF(IF(AC100&gt;=AF100,AC100,AF100)&lt;=1,"OK!","NO!"))</f>
        <v>0</v>
      </c>
      <c r="V100" s="828"/>
      <c r="W100" s="157"/>
      <c r="X100" s="198">
        <f>IF(W100=0,0,+CT100)</f>
        <v>0</v>
      </c>
      <c r="Y100" s="198">
        <f>IF(X100=0,0,ROUND(POWER(W100*X100,2)/(P100/10*IF(V100=0,R100/10,V100/10)),2))</f>
        <v>0</v>
      </c>
      <c r="Z100" s="199" t="str">
        <f>IF(EM100&gt;=EN100,EM100,EN100)</f>
        <v/>
      </c>
      <c r="AA100" s="199" t="str">
        <f>IF(R100=0,"",ROUNDUP((DE100)/DM100,2))</f>
        <v/>
      </c>
      <c r="AB100" s="199" t="str">
        <f>IF(R100=0,"",ROUND(DF100/DT100,2))</f>
        <v/>
      </c>
      <c r="AC100" s="199" t="str">
        <f>IF(W100=0,"",ROUND(DG100/DO100,2))</f>
        <v/>
      </c>
      <c r="AD100" s="199" t="str">
        <f>IF(R100=0,"",ROUNDUP((DH100)/DN100,2))</f>
        <v/>
      </c>
      <c r="AE100" s="199" t="str">
        <f>IF(R100=0,"",ROUNDUP(DI100/DZ100,2))</f>
        <v/>
      </c>
      <c r="AF100" s="201" t="str">
        <f>IF(W100=0,"",ROUNDUP(DJ100/DP100,2))</f>
        <v/>
      </c>
      <c r="AG100" s="327"/>
      <c r="AH100" s="321"/>
      <c r="AI100" s="328"/>
      <c r="AJ100" s="328"/>
      <c r="AK100" s="321"/>
      <c r="AL100" s="321"/>
      <c r="AM100" s="322"/>
      <c r="AN100" s="186">
        <f>IF(I100=0,0,+AN98)</f>
        <v>0</v>
      </c>
      <c r="AO100" s="295">
        <f>IF(I100=0,0,+DS100)</f>
        <v>0</v>
      </c>
      <c r="CP100" s="9" t="e">
        <f>ROUNDUP((DC100*I100*100/2*3/2/DQ100),2)</f>
        <v>#N/A</v>
      </c>
      <c r="CQ100" s="9" t="e">
        <f>ROUNDUP((DD100*I100*100/2*3/2/DR100),2)</f>
        <v>#N/A</v>
      </c>
      <c r="CR100" s="23" t="e">
        <f>IF(CP100&gt;=CQ100,CP100,CQ100)</f>
        <v>#N/A</v>
      </c>
      <c r="CS100" s="23" t="e">
        <f>IF(CP100&gt;=CQ100,CP100,CQ100)</f>
        <v>#N/A</v>
      </c>
      <c r="CT100" s="9">
        <f>IF(R100=0,0,ROUNDUP(SQRT((Z100*P100/10*IF(V100=0,R100/10,V100/10))/(W100*W100)),2))</f>
        <v>0</v>
      </c>
      <c r="CU100" s="9"/>
      <c r="CV100" s="23"/>
      <c r="CW100" s="23" t="e">
        <f>ROUND((POWER(I100*100,2)-POWER(I98*100,2))/2/(I100*100),2)</f>
        <v>#DIV/0!</v>
      </c>
      <c r="CY100" s="63"/>
      <c r="CZ100" s="87">
        <f>ROUNDUP(IF(VALUE(RIGHT($G$3,3))=1,DA100*0.7,0),0)</f>
        <v>0</v>
      </c>
      <c r="DA100" s="87" t="e">
        <f>ROUNDUP(IF(VALUE(RIGHT($G$3,4))=1,$I$3*30*F100*100,$I$3*20*F100*100),0)</f>
        <v>#VALUE!</v>
      </c>
      <c r="DB100" s="87"/>
      <c r="DC100" s="87" t="e">
        <f>ROUNDUP((準備!$G$60/100+準備!$D$48/100)*($G100+$H100)/2,2)+IF($M103=0,0,$EQ100)</f>
        <v>#N/A</v>
      </c>
      <c r="DD100" s="87">
        <f>ROUNDUP((準備!$G$60/100+6)*(G100+H100)/2,2)+IF(M103=0,0,EQ100)</f>
        <v>0</v>
      </c>
      <c r="DE100" s="87" t="e">
        <f>ABS(ROUNDUP(($DC100*$I100*100*POWER($CW100,2)-2*($GD98+$EO98*$I98*100*$CW100))/2/($I100*100)/$DK100,1))</f>
        <v>#N/A</v>
      </c>
      <c r="DF100" s="87" t="e">
        <f>ABS(ROUNDUP((5*$DC100*POWER($I100*100,4)-$DC100*POWER($I98*100,2)-24.6528*($GD98+IF(J98=0,0,IF(VALUE(RIGHT($J98,4))=1,$EO98*$I98*100*POWER($I100*100,2),0))))/(384*VLOOKUP(VALUE(RIGHT($O98,4)),許容応力!$B$6:$K$22,10)*100*$DL100*100),2))</f>
        <v>#N/A</v>
      </c>
      <c r="DG100" s="87" t="e">
        <f>ROUND(($DC100*($I100*100-$CW100)+(GD98*I98*100/(I100*100)+IF(J98=0,0,IF(VALUE(RIGHT($J98,4))=1,$EO98*$I98*100/($I100*100),0))))/($Y100*3*2),1)</f>
        <v>#N/A</v>
      </c>
      <c r="DH100" s="87" t="e">
        <f>ABS(ROUNDUP(($DD100*$I100*100*POWER($CW100,2)-2*($GD98+IF(J98=0,0,IF(VALUE(RIGHT($J98,4))=1,$EP98*$I98*100*$CW100,0))))/2/($I100*100)/$DK100,1))</f>
        <v>#DIV/0!</v>
      </c>
      <c r="DI100" s="87" t="e">
        <f>ABS(ROUNDUP((5*$DD100*POWER($I100*100,4)-$DD100*POWER($I98*100,2)-24.6528*($GD98+$EP98*$I98*100*POWER($I100*100,2)))/(384*VLOOKUP(VALUE(RIGHT($O98,4)),許容応力!$B$6:$K$22,10)*100*$DL100*100),2))</f>
        <v>#VALUE!</v>
      </c>
      <c r="DJ100" s="87" t="e">
        <f>ROUND(($DD100*($I100*100-$CW100)+(GD98*I98*100/(I100*100)+IF(J98=0,0,IF(VALUE(RIGHT($J98,4))=1,$EP98*$I98*100/($I100*100),0))))/($Y100*3*2),1)</f>
        <v>#DIV/0!</v>
      </c>
      <c r="DK100" s="87">
        <f>ROUNDDOWN($P100/10*POWER($R100/10,2)/6*IF(OR($S100=0,$S100=1),1,$S100),0)</f>
        <v>0</v>
      </c>
      <c r="DL100" s="87">
        <f>ROUNDDOWN($P100/10*POWER($R100/10,3)/12*IF(OR($S100=0,$S100=1),1,$S100),0)</f>
        <v>0</v>
      </c>
      <c r="DM100" s="88" t="e">
        <f>IF($DN$6=2,ROUND(VLOOKUP(DV100,許容応力!$B$6:$K$22,7)*1.1/3*100,0),ROUND(VLOOKUP(DV100,許容応力!$B$6:$K$22,7)*1.1/3*1.3*100,0))</f>
        <v>#N/A</v>
      </c>
      <c r="DN100" s="87" t="e">
        <f>ROUND(VLOOKUP(DV100,許容応力!$B$6:$K$22,7)*100*2/3*0.8,0)</f>
        <v>#N/A</v>
      </c>
      <c r="DO100" s="88" t="e">
        <f>IF($DN$6=2,ROUND(VLOOKUP(DV100,許容応力!$B$6:$K$22,8)*1.1/3*100,0),ROUND(VLOOKUP(DV100,許容応力!$B$6:$K$22,8)*1.1/3*1.3*100,0))</f>
        <v>#N/A</v>
      </c>
      <c r="DP100" s="87" t="e">
        <f>ROUND(VLOOKUP(DV100,許容応力!$B$6:$K$22,8)*100*2/3*0.8,0)</f>
        <v>#N/A</v>
      </c>
      <c r="DQ100" s="88" t="e">
        <f>IF($DN$6=2,ROUND(VLOOKUP(DV100,許容応力!$B$6:$K$22,9)*1.1/3*100,0),ROUND(VLOOKUP(DV100,許容応力!$B$6:$K$22,9)*1.1/3*100*1.3,0))</f>
        <v>#N/A</v>
      </c>
      <c r="DR100" s="87" t="e">
        <f>ROUND(VLOOKUP(DV100,許容応力!$B$6:$K$22,9)*100*2/3*0.8,0)</f>
        <v>#N/A</v>
      </c>
      <c r="DS100" s="87">
        <v>600</v>
      </c>
      <c r="DT100" s="87">
        <f>ROUND(I100*100/DS100,2)</f>
        <v>0</v>
      </c>
      <c r="DU100" s="87"/>
      <c r="DV100" s="87">
        <f>+VALUE(RIGHT(O100,3))</f>
        <v>0</v>
      </c>
      <c r="DW100" s="89">
        <f>ROUND(ATAN(E100/10)*180/PI(),4)</f>
        <v>0</v>
      </c>
      <c r="DX100" s="90">
        <f>ROUND(COS(DW100*PI()/180),3)</f>
        <v>1</v>
      </c>
      <c r="DY100" s="87">
        <v>225</v>
      </c>
      <c r="DZ100" s="87">
        <f>ROUND(I100*100/DY100,2)</f>
        <v>0</v>
      </c>
      <c r="EA100" s="87"/>
      <c r="EB100" s="87" t="e">
        <f>ROUNDUP((準備!$G$60/100+準備!$E$48/100)*($G100+$H100)/2,2)+IF(J98=0,0,IF(VALUE(RIGHT($J98,4))=1,$EQ100,0))</f>
        <v>#N/A</v>
      </c>
      <c r="EC100" s="87"/>
      <c r="ED100" s="87"/>
      <c r="EE100" s="87"/>
      <c r="EF100" s="87"/>
      <c r="EG100" s="87" t="e">
        <f>ROUND(DC100*I100*100/2/AK100,1)</f>
        <v>#N/A</v>
      </c>
      <c r="EH100" s="87" t="e">
        <f>ROUND(EG100/DQ100,2)</f>
        <v>#N/A</v>
      </c>
      <c r="EI100" s="87" t="e">
        <f>ROUND(DD100*I100*100/2/AK100,1)</f>
        <v>#DIV/0!</v>
      </c>
      <c r="EJ100" s="87" t="e">
        <f>ROUND(EI100/DR100,2)</f>
        <v>#DIV/0!</v>
      </c>
      <c r="EK100" s="63" t="e">
        <f>IF(ES100=2,0,ROUNDUP(IF(F100&gt;=F101,F100,F101)*EC100/#REF!,2))</f>
        <v>#VALUE!</v>
      </c>
      <c r="EL100" s="63" t="e">
        <f>IF(ES100=2,0,ROUNDUP(IF(F100&gt;=F101,F100,F101)*ED100/#REF!,2))</f>
        <v>#VALUE!</v>
      </c>
      <c r="EM100" s="87" t="str">
        <f>IF(E100=0,"",ROUND(DC100*I100*100/2/DO100,1))</f>
        <v/>
      </c>
      <c r="EN100" s="87" t="str">
        <f>IF(E100=0,"",ROUND(DD100*I100*100/2/DP100,1))</f>
        <v/>
      </c>
      <c r="EO100" s="87">
        <f>IF(L98=0,0,ROUNDUP((準備!$G$57/DX100+IF(AND(VALUE(RIGHT($G$3,4))=1,$T$3=2),CZ100/DX100*1.2,CZ100/DX100))*(K98+K99)/2*(L98+L99)/2,0))</f>
        <v>0</v>
      </c>
      <c r="EP100" s="87">
        <f>IF(L98=0,0,ROUNDUP((準備!$G$57/DX100+IF(AND(VALUE(RIGHT($G$3,4))=1,$T$3=2),DA100/DX100*1.2,DA100/DX100))*(K98+K99)/2*(L98+L99)/2,0))</f>
        <v>0</v>
      </c>
      <c r="EQ100" s="63">
        <f>IF(N101=0,0,VLOOKUP(VALUE(RIGHT(N100,4)),$M$600:$O$605,3)/10000*N101*100)</f>
        <v>0</v>
      </c>
      <c r="ER100" s="63">
        <f>IF(J100=0,0,IF(VALUE(RIGHT(J100,4))=2,0,ROUNDUP(N102*100*N103*100/(I100*100)*EO100/DK100,1)))</f>
        <v>0</v>
      </c>
      <c r="ES100" s="63" t="e">
        <f>IF(FC100=2,0,ROUNDUP(N102*N103/I100*100*EP100/DK100,1))</f>
        <v>#VALUE!</v>
      </c>
      <c r="ET100" s="63" t="e">
        <f>IF(FC100=2,0,IF(FC100=0,0,ROUNDUP(EO100*IF(N102&gt;=N103,N102,N103)*SQRT(POWER(ABS(POWER(N102,2)-POWER(N103,2)),3)/(9*SQRT(3)*EV100*DL100*I100)),2)))</f>
        <v>#VALUE!</v>
      </c>
      <c r="EU100" s="63" t="e">
        <f>IF(FC100=2,0,ROUNDUP(EP100*IF(N102&gt;=N103,N102,N103)*SQRT(POWER(ABS(POWER(N102,2)-POWER(N103,2)),3)/(9*SQRT(3)*EV100*DL100*I100)),2))</f>
        <v>#VALUE!</v>
      </c>
      <c r="EV100" s="63" t="e">
        <f>+VLOOKUP(DV100,許容応力!$B$6:$K$22,10)*100</f>
        <v>#N/A</v>
      </c>
      <c r="EW100" s="63" t="e">
        <f>IF(FC100=2,0,ROUNDUP(IF(N102&gt;=N103,N102,N103)*EO100/I100,0))</f>
        <v>#VALUE!</v>
      </c>
      <c r="EX100" s="63" t="e">
        <f>IF(FC100=2,0,ROUNDUP(IF(N102&gt;=N103,N102,N103)*EP100/I100,0))</f>
        <v>#VALUE!</v>
      </c>
      <c r="EY100" s="63" t="e">
        <f>ROUND(EW100*100/AK100,1)</f>
        <v>#VALUE!</v>
      </c>
      <c r="EZ100" s="63" t="e">
        <f>ROUND(EY100/DQ100,2)</f>
        <v>#VALUE!</v>
      </c>
      <c r="FA100" s="63" t="e">
        <f>ROUND(EX100*100/AK100,1)</f>
        <v>#VALUE!</v>
      </c>
      <c r="FB100" s="63" t="e">
        <f>ROUND(FA100/DR100,2)</f>
        <v>#VALUE!</v>
      </c>
      <c r="FC100" s="63" t="e">
        <f>+VALUE(RIGHT(J98,3))</f>
        <v>#VALUE!</v>
      </c>
      <c r="FD100" s="63">
        <f>IF($DN$6=2,400,200)</f>
        <v>200</v>
      </c>
      <c r="FE100" s="63">
        <f>ROUND(I100*100/FD100,2)</f>
        <v>0</v>
      </c>
      <c r="FF100" s="63">
        <v>200</v>
      </c>
      <c r="FG100" s="63">
        <f>ROUND(I100*100/FF100,2)</f>
        <v>0</v>
      </c>
      <c r="FH100" s="78" t="e">
        <f>ROUND(ET100/FE100,1)</f>
        <v>#VALUE!</v>
      </c>
      <c r="FI100" s="78" t="e">
        <f>ROUND(EU100/FG100,1)</f>
        <v>#VALUE!</v>
      </c>
      <c r="FJ100" s="78"/>
      <c r="FK100" s="63" t="e">
        <f>IF(FR100&lt;21,21,IF(AND(FR100&gt;21,FR100&lt;=24),24,IF(AND(FR100&gt;30,FR100&lt;=40),40,IF(AND(FR100&gt;40,FR100&lt;=45),45,IF(AND(FR100&gt;60,FR100&lt;=75),75,IF(AND(FR100&gt;90,FR100&lt;=105),105,IF(AND(FR100&gt;120,FR100&lt;=135),135,ROUNDUP(FR100/3,-1)*3)))))))</f>
        <v>#N/A</v>
      </c>
      <c r="FL100" s="63" t="e">
        <f>IF(FS100&lt;21,21,IF(AND(FS100&gt;21,FS100&lt;=24),24,IF(AND(FS100&gt;30,FS100&lt;=40),40,IF(AND(FS100&gt;40,FS100&lt;=45),45,IF(AND(FS100&gt;60,FS100&lt;=75),75,IF(AND(FS100&gt;90,FS100&lt;=105),105,IF(AND(FS100&gt;120,FS100&lt;=135),135,ROUNDUP(FS100/3,-1)*3)))))))</f>
        <v>#N/A</v>
      </c>
      <c r="FN100" s="63" t="e">
        <f>IF(FU100&lt;21,21,IF(AND(FU100&gt;21,FU100&lt;=24),24,IF(AND(FU100&gt;30,FU100&lt;=40),40,IF(AND(FU100&gt;40,FU100&lt;=45),45,IF(AND(FU100&gt;60,FU100&lt;=75),75,IF(AND(FU100&gt;90,FU100&lt;=105),105,IF(AND(FU100&gt;120,FU100&lt;=135),135,ROUNDUP(FU100/3,-1)*3)))))))</f>
        <v>#DIV/0!</v>
      </c>
      <c r="FO100" s="63" t="e">
        <f>IF(FV100&lt;21,21,IF(AND(FV100&gt;21,FV100&lt;=24),24,IF(AND(FV100&gt;30,FV100&lt;=40),40,IF(AND(FV100&gt;40,FV100&lt;=45),45,IF(AND(FV100&gt;60,FV100&lt;=75),75,IF(AND(FV100&gt;90,FV100&lt;=105),105,IF(AND(FV100&gt;120,FV100&lt;=135),135,ROUNDUP(FV100/3,-1)*3)))))))</f>
        <v>#VALUE!</v>
      </c>
      <c r="FP100" s="155" t="e">
        <f>+MAX(FK100:FO100)</f>
        <v>#N/A</v>
      </c>
      <c r="FQ100" s="2"/>
      <c r="FR100" s="87" t="e">
        <f>ROUND(SQRT(FX100/($P100/10)*6/IF(OR($S100=0,$S100=1),1,$S100))*10,0)</f>
        <v>#N/A</v>
      </c>
      <c r="FS100" s="87" t="e">
        <f>POWER(ROUND(FY100/($P100/10)*12/IF(OR($S100=0,$S100=1),1,$S100),0),1/3)*10</f>
        <v>#N/A</v>
      </c>
      <c r="FU100" s="87" t="e">
        <f>ROUND(SQRT(GA100/($P100/10)*6/IF(OR($S100=0,$S100=1),1,$S100))*10,0)</f>
        <v>#DIV/0!</v>
      </c>
      <c r="FV100" s="87" t="e">
        <f>POWER(ROUND(GB100/($P100/10)*12/IF(OR($S100=0,$S100=1),1,$S100),0),1/3)*10</f>
        <v>#VALUE!</v>
      </c>
      <c r="FW100" s="2"/>
      <c r="FX100" s="87" t="e">
        <f>ABS(ROUNDUP(($DC100*$I100*100*POWER($CW100,2)-2*($EQ98+$EO98*$I98*100*$CW100))/2/($I100*100)/$DM100,1))</f>
        <v>#N/A</v>
      </c>
      <c r="FY100" s="87" t="e">
        <f>ABS(ROUNDUP((5*$DC100*POWER($I100*100,4)-$DC100*POWER($I98*100,2)-24.6528*($GD98+IF(J98=0,0,IF(VALUE(RIGHT($J98,4))=1,$EO98*$I98*100*POWER($I100*100,2),0))))/(384*VLOOKUP(VALUE(RIGHT($O98,4)),許容応力!$B$6:$K$22,10)*100*$DT100),2))</f>
        <v>#N/A</v>
      </c>
      <c r="FZ100" s="87"/>
      <c r="GA100" s="87" t="e">
        <f>ABS(ROUNDUP(($DD100*$I100*100*POWER($CW100,2)-2*($EQ98+IF(J98=0,0,IF(VALUE(RIGHT($J98,4))=1,$EP98*$I98*100*$CW100,0))))/2/($I100*100)/$DN100,1))</f>
        <v>#DIV/0!</v>
      </c>
      <c r="GB100" s="87" t="e">
        <f>ABS(ROUNDUP((5*$DD100*POWER($I100*100,4)-$DD100*POWER($I98*100,2)-24.6528*($GD98+$EP98*$I98*100*POWER($I100*100,2)))/(384*VLOOKUP(VALUE(RIGHT($O98,4)),許容応力!$B$6:$K$22,10)*100*$DZ100),2))</f>
        <v>#VALUE!</v>
      </c>
    </row>
    <row r="101" spans="2:186" ht="15.95" customHeight="1" x14ac:dyDescent="0.15">
      <c r="B101" s="1514"/>
      <c r="C101" s="1499"/>
      <c r="D101" s="1502"/>
      <c r="E101" s="1509"/>
      <c r="F101" s="1511"/>
      <c r="G101" s="1359"/>
      <c r="H101" s="1359"/>
      <c r="I101" s="1359"/>
      <c r="J101" s="304"/>
      <c r="K101" s="300"/>
      <c r="L101" s="300"/>
      <c r="M101" s="310" t="s">
        <v>263</v>
      </c>
      <c r="N101" s="301"/>
      <c r="O101" s="1605"/>
      <c r="P101" s="1193">
        <f>+IF(O98=0,0,"丸太末口 φ")</f>
        <v>0</v>
      </c>
      <c r="Q101" s="1194"/>
      <c r="R101" s="239">
        <f>IF(O98=0,0,+FP101)</f>
        <v>0</v>
      </c>
      <c r="S101" s="1120"/>
      <c r="T101" s="240" t="str">
        <f>IF(AA101=+"","",IF(AND(AA101&lt;=1,AB101&lt;=1,AD101&lt;=1,AE101&lt;=1),"OK!","NO!"))</f>
        <v/>
      </c>
      <c r="U101" s="240">
        <f>IF(W101=0,0,IF(IF(AC101&gt;=AF101,AC101,AF101)&lt;=1,"OK!","NO!"))</f>
        <v>0</v>
      </c>
      <c r="V101" s="827"/>
      <c r="W101" s="159"/>
      <c r="X101" s="205">
        <f>IF(W101=0,0,+CT101)</f>
        <v>0</v>
      </c>
      <c r="Y101" s="205" t="str">
        <f>IF(X101=0,"",ROUND(POWER(W101*X101,2)/(IF(V101=0,(R101/10-6)*(R101/10-3),(V101/10-6)*(V101/10-3))),2))</f>
        <v/>
      </c>
      <c r="Z101" s="206" t="str">
        <f>IF(EM101&gt;=EN101,EM101,EN101)</f>
        <v/>
      </c>
      <c r="AA101" s="206" t="str">
        <f>IF(R101=0,"",ROUNDUP(DE101/DM101,2))</f>
        <v/>
      </c>
      <c r="AB101" s="206" t="str">
        <f>IF(R101=0,"",ROUND(DF101/DT101,2))</f>
        <v/>
      </c>
      <c r="AC101" s="206" t="str">
        <f>IF(W101=0,"",ROUND(DG101/DO101,2))</f>
        <v/>
      </c>
      <c r="AD101" s="206" t="str">
        <f>IF(R101=0,"",ROUNDUP(DH101/DN101,2))</f>
        <v/>
      </c>
      <c r="AE101" s="206" t="str">
        <f>IF(R101=0,"",ROUNDUP(DI101/DZ101,2))</f>
        <v/>
      </c>
      <c r="AF101" s="206" t="str">
        <f>IF(W101=0,"",ROUNDUP(DJ101/DP101,2))</f>
        <v/>
      </c>
      <c r="AG101" s="323"/>
      <c r="AH101" s="324"/>
      <c r="AI101" s="324"/>
      <c r="AJ101" s="324"/>
      <c r="AK101" s="325"/>
      <c r="AL101" s="325"/>
      <c r="AM101" s="589"/>
      <c r="AN101" s="184">
        <f>IF(I100=0,0,+AN98)</f>
        <v>0</v>
      </c>
      <c r="AO101" s="185">
        <f>IF(I100=0,0,+AO100)</f>
        <v>0</v>
      </c>
      <c r="CP101" s="9" t="e">
        <f>ROUNDUP((DC101*I100*100/2*4/3/DQ101),2)</f>
        <v>#N/A</v>
      </c>
      <c r="CQ101" s="9" t="e">
        <f>ROUNDUP((DD101*I100*100/2*4/3/DR101),2)</f>
        <v>#N/A</v>
      </c>
      <c r="CR101" s="23" t="e">
        <f>IF(CP101&gt;=CQ101,CP101,CQ101)</f>
        <v>#N/A</v>
      </c>
      <c r="CS101" s="23" t="e">
        <f>IF(CP101&gt;=CQ101,CP101,CQ101)</f>
        <v>#N/A</v>
      </c>
      <c r="CT101" s="9">
        <f>IF(R101=0,0,ROUNDUP(SQRT(IF(V101=0,(Z101*(R101/10-6)*(R101/10-3)),(Z101*(V101/10-6)*(V101/10-3)))/(W101*W101)),2))</f>
        <v>0</v>
      </c>
      <c r="CU101" s="9"/>
      <c r="CV101" s="23"/>
      <c r="CW101" s="23"/>
      <c r="CY101" s="63"/>
      <c r="CZ101" s="63">
        <f>ROUNDUP(IF(VALUE(RIGHT($G$3,3))=1,DA101*0.7,0),0)</f>
        <v>0</v>
      </c>
      <c r="DA101" s="63" t="e">
        <f>ROUNDUP(IF(VALUE(RIGHT($G$3,4))=1,$I$3*30*F100*100,$I$3*20*F100*100),0)</f>
        <v>#VALUE!</v>
      </c>
      <c r="DB101" s="63"/>
      <c r="DC101" s="78" t="e">
        <f>ROUNDUP((準備!$G$60/100+準備!$D$48/100)*($G100+$H100)/2,2)+IF($M103=0,0,$EQ101)</f>
        <v>#N/A</v>
      </c>
      <c r="DD101" s="78">
        <f>ROUNDUP((準備!$G$60/100+6)*(G100+H100)/2,2)+IF(M103=0,0,EQ101)</f>
        <v>0</v>
      </c>
      <c r="DE101" s="87" t="e">
        <f>ABS(ROUNDUP(($DC101*$I100*100*POWER($CW100,2)-2*($GD99+$EO98*$I98*100*$CW100))/2/($I100*100)/$DK101,1))</f>
        <v>#N/A</v>
      </c>
      <c r="DF101" s="87" t="e">
        <f>ABS(ROUNDUP((5*$DC101*POWER($I100*100,4)-$DC101*POWER($I98*100,2)-24.6528*($GD98+IF(J98=0,0,IF(VALUE(RIGHT($J98,4))=1,$EO99*$I98*100*POWER($I100*100,2),0))))/(384*VLOOKUP(VALUE(RIGHT($O98,4)),許容応力!$B$6:$K$22,10)*100*$DL101*100),2))</f>
        <v>#N/A</v>
      </c>
      <c r="DG101" s="87" t="e">
        <f>ROUND(($DC101*($I100*100-$CW100)+(GD98*I98*100/(I100*100)+IF(J98=0,0,IF(VALUE(RIGHT($J98,4))=1,$EO98*$I98*100/($I100*100),0))))/($Y101*3*2),1)</f>
        <v>#N/A</v>
      </c>
      <c r="DH101" s="87" t="e">
        <f>ABS(ROUNDUP(($DD101*$I100*100*POWER($CW100,2)-2*($GD98+IF(J98=0,0,IF(VALUE(RIGHT($J98,4))=1,$EP98*$I98*100*$CW100,0))))/2/($I100*100)/$DK101,1))</f>
        <v>#DIV/0!</v>
      </c>
      <c r="DI101" s="87" t="e">
        <f>ABS(ROUNDUP((5*$DD101*POWER($I100*100,4)-$DD101*POWER($I98*100,2)-24.6528*($GD98+$EP99*$I98*100*POWER($I100*100,2)))/(384*VLOOKUP(VALUE(RIGHT($O98,4)),許容応力!$B$6:$K$22,10)*100*$DL101*100),2))</f>
        <v>#VALUE!</v>
      </c>
      <c r="DJ101" s="87" t="e">
        <f>ROUND(($DD101*($I100*100-$CW100)+(GD98*I98*100/(I100*100)+IF(J98=0,0,IF(VALUE(RIGHT($J98,4))=1,$EP98*$I98*100/($I100*100),0))))/($Y101*3*2),1)</f>
        <v>#DIV/0!</v>
      </c>
      <c r="DK101" s="63">
        <f>ROUNDDOWN(PI()*POWER($R101/2/10,2)*($R101/10-IF($R101&lt;180,2,6))/4*IF(OR($S101=0,$S101=1),1,$S101),0)</f>
        <v>0</v>
      </c>
      <c r="DL101" s="63">
        <f>ROUNDDOWN(PI()*POWER($R101/2/10,3)*($R101/10-IF($R101&lt;180,0,6))/4*IF(OR($S101=0,$S101=1),1,$S101),0)</f>
        <v>0</v>
      </c>
      <c r="DM101" s="10" t="e">
        <f>IF($DN$6=2,ROUND(VLOOKUP(DV101,許容応力!$L$6:$U$22,7)*1.1/3*100,0),ROUND(VLOOKUP(DV101,許容応力!$L$6:$U$22,7)*1.1/3*1.3*100,0))</f>
        <v>#N/A</v>
      </c>
      <c r="DN101" s="63" t="e">
        <f>ROUND(VLOOKUP(DV101,許容応力!$L$6:$U$22,7)*100*2/3*0.8,0)</f>
        <v>#N/A</v>
      </c>
      <c r="DO101" s="10" t="e">
        <f>IF($DN$6=2,ROUND(VLOOKUP(DV101,許容応力!$L$6:$U$22,8)*1.1/3*100,0),ROUND(VLOOKUP(DV101,許容応力!$L$6:$U$22,8)*1.1/3*1.3*100,0))</f>
        <v>#N/A</v>
      </c>
      <c r="DP101" s="63" t="e">
        <f>ROUND(VLOOKUP(DV101,許容応力!$L$6:$U$22,8)*100*2/3*0.8,0)</f>
        <v>#N/A</v>
      </c>
      <c r="DQ101" s="10" t="e">
        <f>IF($DN$6=2,ROUND(VLOOKUP(DV101,許容応力!$L$6:$U$22,9)*1.1/3*100,0),ROUND(VLOOKUP(DV101,許容応力!$L$6:$U$22,9)*1.1/3*1.3*100,0))</f>
        <v>#N/A</v>
      </c>
      <c r="DR101" s="63" t="e">
        <f>ROUND(VLOOKUP(DV101,許容応力!$L$6:$U$22,9)*100*2/3*0.8,0)</f>
        <v>#N/A</v>
      </c>
      <c r="DS101" s="63">
        <v>600</v>
      </c>
      <c r="DT101" s="63">
        <f>ROUND(I100*100/DS101,2)</f>
        <v>0</v>
      </c>
      <c r="DU101" s="63"/>
      <c r="DV101" s="78">
        <f>+VALUE(RIGHT(O100,3))</f>
        <v>0</v>
      </c>
      <c r="DW101" s="69">
        <f>ROUND(ATAN(E100/10)*180/PI(),4)</f>
        <v>0</v>
      </c>
      <c r="DX101" s="70">
        <f>ROUND(COS(DW101*PI()/180),3)</f>
        <v>1</v>
      </c>
      <c r="DY101" s="63">
        <v>225</v>
      </c>
      <c r="DZ101" s="63">
        <f>ROUND(I100*100/DY101,2)</f>
        <v>0</v>
      </c>
      <c r="EA101" s="63"/>
      <c r="EB101" s="78" t="e">
        <f>ROUNDUP((準備!$G$60/100+準備!$E$48/100)*($G100+$H100)/2,2)+IF(J98=0,0,IF(VALUE(RIGHT($J98,4))=1,$EQ101,0))</f>
        <v>#N/A</v>
      </c>
      <c r="EC101" s="63"/>
      <c r="ED101" s="71">
        <f>IF(I100&lt;6,POWER(R101/10,2)*I100/10000,POWER((R101/10+(ROUNDDOWN(I100,0)-4)/2),2)*I100/10000)</f>
        <v>0</v>
      </c>
      <c r="EE101" s="63">
        <v>200</v>
      </c>
      <c r="EF101" s="84">
        <f>ROUND(ED101*EE101/100,0)</f>
        <v>0</v>
      </c>
      <c r="EG101" s="63" t="e">
        <f>ROUND((DC101*I100*100/2+EF101)/AK101,1)</f>
        <v>#N/A</v>
      </c>
      <c r="EH101" s="63" t="e">
        <f>ROUND(EG101/DQ101,2)</f>
        <v>#N/A</v>
      </c>
      <c r="EI101" s="63" t="e">
        <f>ROUND((DD101*I100*100/2+EF101)/AK101,1)</f>
        <v>#DIV/0!</v>
      </c>
      <c r="EJ101" s="63" t="e">
        <f>ROUND(EI101/DR101,2)</f>
        <v>#DIV/0!</v>
      </c>
      <c r="EK101" s="63" t="e">
        <f>ROUNDUP(IF(F100&gt;=F101,F100,F101)*EC101/#REF!,2)</f>
        <v>#VALUE!</v>
      </c>
      <c r="EL101" s="63" t="e">
        <f>ROUNDUP(IF(F100&gt;=F101,F100,F101)*ED101/#REF!,2)</f>
        <v>#VALUE!</v>
      </c>
      <c r="EM101" s="87" t="str">
        <f>IF(E100=0,"",ROUND(DC101*I100*100/2/DO101,1))</f>
        <v/>
      </c>
      <c r="EN101" s="87" t="str">
        <f>IF(E100=0,"",ROUND(DD101*I100*100/2/DP101,1))</f>
        <v/>
      </c>
      <c r="EO101" s="63">
        <f>IF(L98=0,0,ROUNDUP((準備!$G$57/DX101+IF(AND(VALUE(RIGHT($G$3,4))=1,$T$3=2),CZ101/DX101*1.2,CZ101/DX101))*(K98+K99)/2*(L98+L99)/2,0))</f>
        <v>0</v>
      </c>
      <c r="EP101" s="63">
        <f>IF(L98=0,0,ROUNDUP((準備!$G$57/DX101+IF(AND(VALUE(RIGHT($G$3,4))=1,$T$3=2),DA101/DX101*1.2,DA101/DX101))*(K98+K99)/2*(L98+L99)/2,0))</f>
        <v>0</v>
      </c>
      <c r="EQ101" s="63">
        <f>+EQ100</f>
        <v>0</v>
      </c>
      <c r="ER101" s="63" t="e">
        <f>IF(VALUE(RIGHT(J100,4))=2,0,ROUNDUP(N102*100*N103*100/(I100*100)*EO101/DK101,1))</f>
        <v>#VALUE!</v>
      </c>
      <c r="ES101" s="63" t="e">
        <f>IF(FC101=2,0,ROUNDUP(N272*N103/I100*100*EP101/DK101,1))</f>
        <v>#VALUE!</v>
      </c>
      <c r="ET101" s="63" t="e">
        <f>ROUNDUP(EO101*IF(N102&gt;=N103,N102*100,N103*100)*SQRT(POWER(ABS(POWER(N102,2)-POWER(N103,2)),3)/(9*SQRT(3)*EV101*DL101*I100)),2)</f>
        <v>#N/A</v>
      </c>
      <c r="EU101" s="63" t="e">
        <f>ROUNDUP(EP101*IF(N102&gt;=N103,N102*100,N103*100)*SQRT(POWER(ABS(POWER(N102,2)-POWER(N103,2)),3)/(9*SQRT(3)*EV101*DL101*I100)),2)</f>
        <v>#N/A</v>
      </c>
      <c r="EV101" s="63" t="e">
        <f>+VLOOKUP(DV101,許容応力!$L$6:$V$22,10)*100</f>
        <v>#N/A</v>
      </c>
      <c r="EW101" s="63" t="e">
        <f>ROUNDUP(IF(N102&gt;=N103,N102,N103)*EO101/I100,0)</f>
        <v>#DIV/0!</v>
      </c>
      <c r="EX101" s="63" t="e">
        <f>ROUNDUP(IF(N102&gt;=N103,N102,N103)*EP101/I100,0)</f>
        <v>#DIV/0!</v>
      </c>
      <c r="EY101" s="63" t="e">
        <f>ROUND(EW101*100/AK101,1)</f>
        <v>#DIV/0!</v>
      </c>
      <c r="EZ101" s="63" t="e">
        <f>ROUND(EY101/DQ101,2)</f>
        <v>#DIV/0!</v>
      </c>
      <c r="FA101" s="63" t="e">
        <f>ROUND(EX101*100/AK101,1)</f>
        <v>#DIV/0!</v>
      </c>
      <c r="FB101" s="63" t="e">
        <f>ROUND(FA101/DR101,2)</f>
        <v>#DIV/0!</v>
      </c>
      <c r="FC101" s="63" t="e">
        <f>+VALUE(RIGHT(J98,3))</f>
        <v>#VALUE!</v>
      </c>
      <c r="FD101" s="63">
        <f>IF($DN$6=2,400,200)</f>
        <v>200</v>
      </c>
      <c r="FE101" s="63">
        <f>ROUND(I100*100/FD101,2)</f>
        <v>0</v>
      </c>
      <c r="FF101" s="78">
        <v>200</v>
      </c>
      <c r="FG101" s="63">
        <f>ROUND(I100*100/FF101,2)</f>
        <v>0</v>
      </c>
      <c r="FH101" s="78" t="e">
        <f>ROUND(ET101/FE101,1)</f>
        <v>#N/A</v>
      </c>
      <c r="FI101" s="78" t="e">
        <f>ROUND(EU101/FG101,1)</f>
        <v>#N/A</v>
      </c>
      <c r="FJ101" s="78"/>
      <c r="FK101" s="63" t="e">
        <f>IF(FR101&lt;42,60,VLOOKUP(FR101,$CR$301:$CS$344,2))</f>
        <v>#N/A</v>
      </c>
      <c r="FL101" s="63" t="e">
        <f>VLOOKUP(FS101,$CT$301:$CU$344,2)</f>
        <v>#N/A</v>
      </c>
      <c r="FN101" s="63" t="e">
        <f>IF(FU101&lt;42,60,VLOOKUP(FU101,$CR$301:$CS$344,2))</f>
        <v>#DIV/0!</v>
      </c>
      <c r="FO101" s="63" t="e">
        <f>VLOOKUP(FV101,$CT$301:$CU$344,2)</f>
        <v>#VALUE!</v>
      </c>
      <c r="FP101" s="155" t="e">
        <f>+MAX(FK101:FO101)</f>
        <v>#N/A</v>
      </c>
      <c r="FQ101" s="2"/>
      <c r="FR101" s="87" t="e">
        <f>ABS(ROUNDUP(($DC101*$I100*100*POWER($CW100,2)-2*($GD99+$EO98*$I98*100*$CW100))/2/($I100*100)/$DM101,1))</f>
        <v>#N/A</v>
      </c>
      <c r="FS101" s="87" t="e">
        <f>ABS(ROUNDUP((5*$DC101*POWER($I100*100,4)-$DC101*POWER($I98*100,2)-24.6528*($GD98+IF(J98=0,0,IF(VALUE(RIGHT($J98,4))=1,$EO99*$I98*100*POWER($I100*100,2),0))))/(384*VLOOKUP(VALUE(RIGHT($O98,4)),許容応力!$B$6:$K$22,10)*100*$DT101),2))</f>
        <v>#N/A</v>
      </c>
      <c r="FT101" s="87"/>
      <c r="FU101" s="87" t="e">
        <f>ABS(ROUNDUP(($DD101*$I100*100*POWER($CW100,2)-2*($GD98+IF(J98=0,0,IF(VALUE(RIGHT($J98,4))=1,$EP98*$I98*100*$CW100,0))))/2/($I100*100)/$DN101,1))</f>
        <v>#DIV/0!</v>
      </c>
      <c r="FV101" s="87" t="e">
        <f>ABS(ROUNDUP((5*$DD101*POWER($I100*100,4)-$DD101*POWER($I98*100,2)-24.6528*($GD98+$EP99*$I98*100*POWER($I100*100,2)))/(384*VLOOKUP(VALUE(RIGHT($O98,4)),許容応力!$B$6:$K$22,10)*100*$DZ101),2))</f>
        <v>#VALUE!</v>
      </c>
      <c r="FW101" s="2"/>
      <c r="FX101" s="2"/>
    </row>
    <row r="102" spans="2:186" ht="15.95" customHeight="1" x14ac:dyDescent="0.15">
      <c r="B102" s="1514"/>
      <c r="C102" s="1368"/>
      <c r="D102" s="298"/>
      <c r="E102" s="176"/>
      <c r="F102" s="313"/>
      <c r="G102" s="1382" t="s">
        <v>714</v>
      </c>
      <c r="H102" s="1594" t="s">
        <v>733</v>
      </c>
      <c r="I102" s="233" t="s">
        <v>845</v>
      </c>
      <c r="J102" s="1145"/>
      <c r="K102" s="1594" t="s">
        <v>719</v>
      </c>
      <c r="L102" s="1606"/>
      <c r="M102" s="311" t="s">
        <v>254</v>
      </c>
      <c r="N102" s="312"/>
      <c r="O102" s="302"/>
      <c r="P102" s="302"/>
      <c r="Q102" s="302"/>
      <c r="R102" s="302"/>
      <c r="S102" s="302"/>
      <c r="T102" s="302"/>
      <c r="U102" s="302"/>
      <c r="V102" s="302"/>
      <c r="W102" s="302"/>
      <c r="X102" s="302"/>
      <c r="Y102" s="302"/>
      <c r="Z102" s="302"/>
      <c r="AA102" s="302"/>
      <c r="AB102" s="302"/>
      <c r="AC102" s="302"/>
      <c r="AD102" s="302"/>
      <c r="AE102" s="302"/>
      <c r="AF102" s="176"/>
      <c r="AG102" s="302"/>
      <c r="AH102" s="302"/>
      <c r="AI102" s="302"/>
      <c r="AJ102" s="302"/>
      <c r="AK102" s="302"/>
      <c r="AL102" s="302"/>
      <c r="AM102" s="181"/>
      <c r="AN102" s="662"/>
      <c r="AO102" s="379"/>
      <c r="CP102" s="9"/>
      <c r="CQ102" s="9"/>
      <c r="CR102" s="23"/>
      <c r="CS102" s="23"/>
      <c r="CT102" s="9"/>
      <c r="CU102" s="9"/>
      <c r="CV102" s="23"/>
      <c r="CZ102" s="3" t="e">
        <f>+#REF!</f>
        <v>#REF!</v>
      </c>
      <c r="DA102" s="3" t="e">
        <f>+#REF!</f>
        <v>#REF!</v>
      </c>
      <c r="DB102" s="3" t="e">
        <f>+#REF!</f>
        <v>#REF!</v>
      </c>
      <c r="DC102" s="3" t="e">
        <f>+#REF!</f>
        <v>#REF!</v>
      </c>
      <c r="DD102" s="3" t="e">
        <f>+#REF!</f>
        <v>#REF!</v>
      </c>
      <c r="DE102" s="3" t="e">
        <f>+#REF!</f>
        <v>#REF!</v>
      </c>
      <c r="DF102" s="3" t="e">
        <f>+#REF!</f>
        <v>#REF!</v>
      </c>
      <c r="DG102" s="3" t="e">
        <f>+#REF!</f>
        <v>#REF!</v>
      </c>
      <c r="DH102" s="3" t="e">
        <f>+#REF!</f>
        <v>#REF!</v>
      </c>
      <c r="DI102" s="3" t="e">
        <f>+#REF!</f>
        <v>#REF!</v>
      </c>
      <c r="DJ102" s="3" t="e">
        <f>+#REF!</f>
        <v>#REF!</v>
      </c>
      <c r="DK102" s="3" t="e">
        <f>+#REF!</f>
        <v>#REF!</v>
      </c>
      <c r="DL102" s="3" t="e">
        <f>+#REF!</f>
        <v>#REF!</v>
      </c>
      <c r="DM102" s="3" t="e">
        <f>+#REF!</f>
        <v>#REF!</v>
      </c>
      <c r="DN102" s="3" t="e">
        <f>+#REF!</f>
        <v>#REF!</v>
      </c>
      <c r="DO102" s="3" t="e">
        <f>+#REF!</f>
        <v>#REF!</v>
      </c>
      <c r="DP102" s="3" t="e">
        <f>+#REF!</f>
        <v>#REF!</v>
      </c>
      <c r="DQ102" s="3" t="e">
        <f>+#REF!</f>
        <v>#REF!</v>
      </c>
      <c r="DR102" s="3" t="e">
        <f>+#REF!</f>
        <v>#REF!</v>
      </c>
      <c r="DS102" s="3" t="e">
        <f>+#REF!</f>
        <v>#REF!</v>
      </c>
      <c r="DT102" s="3" t="e">
        <f>+#REF!</f>
        <v>#REF!</v>
      </c>
      <c r="DU102" s="3" t="e">
        <f>+#REF!</f>
        <v>#REF!</v>
      </c>
      <c r="DV102" s="3" t="e">
        <f>+#REF!</f>
        <v>#REF!</v>
      </c>
      <c r="DW102" s="3" t="e">
        <f>+#REF!</f>
        <v>#REF!</v>
      </c>
      <c r="DX102" s="3" t="e">
        <f>+#REF!</f>
        <v>#REF!</v>
      </c>
      <c r="DY102" s="3" t="e">
        <f>+#REF!</f>
        <v>#REF!</v>
      </c>
      <c r="DZ102" s="3" t="e">
        <f>+#REF!</f>
        <v>#REF!</v>
      </c>
      <c r="EA102" s="3" t="e">
        <f>+#REF!</f>
        <v>#REF!</v>
      </c>
      <c r="EB102" s="3" t="e">
        <f>+#REF!</f>
        <v>#REF!</v>
      </c>
      <c r="EC102" s="3" t="e">
        <f>+#REF!</f>
        <v>#REF!</v>
      </c>
      <c r="ED102" s="3" t="e">
        <f>+#REF!</f>
        <v>#REF!</v>
      </c>
      <c r="EE102" s="3" t="e">
        <f>+#REF!</f>
        <v>#REF!</v>
      </c>
      <c r="EF102" s="3" t="e">
        <f>+#REF!</f>
        <v>#REF!</v>
      </c>
      <c r="EG102" s="3" t="e">
        <f>+#REF!</f>
        <v>#REF!</v>
      </c>
      <c r="EH102" s="3" t="e">
        <f>+#REF!</f>
        <v>#REF!</v>
      </c>
      <c r="EI102" s="3" t="e">
        <f>+#REF!</f>
        <v>#REF!</v>
      </c>
      <c r="EJ102" s="3" t="e">
        <f>+#REF!</f>
        <v>#REF!</v>
      </c>
      <c r="EK102" s="3" t="e">
        <f>+#REF!</f>
        <v>#REF!</v>
      </c>
      <c r="EL102" s="3" t="e">
        <f>+#REF!</f>
        <v>#REF!</v>
      </c>
      <c r="EM102" s="3" t="e">
        <f>+#REF!</f>
        <v>#REF!</v>
      </c>
      <c r="EN102" s="3" t="e">
        <f>+#REF!</f>
        <v>#REF!</v>
      </c>
      <c r="EO102" s="3" t="e">
        <f>+#REF!</f>
        <v>#REF!</v>
      </c>
      <c r="EP102" s="3" t="e">
        <f>+#REF!</f>
        <v>#REF!</v>
      </c>
      <c r="EQ102" s="3" t="e">
        <f>+#REF!</f>
        <v>#REF!</v>
      </c>
      <c r="ER102" s="3" t="e">
        <f>+#REF!</f>
        <v>#REF!</v>
      </c>
      <c r="ES102" s="3" t="e">
        <f>+#REF!</f>
        <v>#REF!</v>
      </c>
      <c r="ET102" s="3" t="e">
        <f>+#REF!</f>
        <v>#REF!</v>
      </c>
      <c r="EU102" s="3" t="e">
        <f>+#REF!</f>
        <v>#REF!</v>
      </c>
      <c r="EV102" s="3" t="e">
        <f>+#REF!</f>
        <v>#REF!</v>
      </c>
      <c r="EW102" s="3" t="e">
        <f>+#REF!</f>
        <v>#REF!</v>
      </c>
      <c r="EX102" s="3" t="e">
        <f>+#REF!</f>
        <v>#REF!</v>
      </c>
      <c r="EY102" s="3" t="e">
        <f>+#REF!</f>
        <v>#REF!</v>
      </c>
      <c r="EZ102" s="3" t="e">
        <f>+#REF!</f>
        <v>#REF!</v>
      </c>
      <c r="FA102" s="3" t="e">
        <f>+#REF!</f>
        <v>#REF!</v>
      </c>
      <c r="FB102" s="3" t="e">
        <f>+#REF!</f>
        <v>#REF!</v>
      </c>
      <c r="FC102" s="3" t="e">
        <f>+#REF!</f>
        <v>#REF!</v>
      </c>
      <c r="FD102" s="3" t="e">
        <f>+#REF!</f>
        <v>#REF!</v>
      </c>
      <c r="FE102" s="3" t="e">
        <f>+#REF!</f>
        <v>#REF!</v>
      </c>
      <c r="FF102" s="3" t="e">
        <f>+#REF!</f>
        <v>#REF!</v>
      </c>
      <c r="FG102" s="3" t="e">
        <f>+#REF!</f>
        <v>#REF!</v>
      </c>
      <c r="FH102" s="3" t="e">
        <f>+#REF!</f>
        <v>#REF!</v>
      </c>
      <c r="FI102" s="3" t="e">
        <f>+#REF!</f>
        <v>#REF!</v>
      </c>
    </row>
    <row r="103" spans="2:186" ht="15.95" customHeight="1" thickBot="1" x14ac:dyDescent="0.2">
      <c r="B103" s="1514"/>
      <c r="C103" s="1500"/>
      <c r="D103" s="299"/>
      <c r="E103" s="225"/>
      <c r="F103" s="297"/>
      <c r="G103" s="1176"/>
      <c r="H103" s="1595"/>
      <c r="I103" s="232" t="s">
        <v>846</v>
      </c>
      <c r="J103" s="133"/>
      <c r="K103" s="1595"/>
      <c r="L103" s="1607"/>
      <c r="M103" s="307" t="s">
        <v>255</v>
      </c>
      <c r="N103" s="308"/>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175"/>
      <c r="AN103" s="663"/>
      <c r="AO103" s="175"/>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P103" s="9"/>
      <c r="CQ103" s="9"/>
      <c r="CR103" s="23"/>
      <c r="CS103" s="23"/>
      <c r="CT103" s="9"/>
      <c r="CU103" s="9"/>
      <c r="CV103" s="23"/>
      <c r="CZ103" s="3" t="e">
        <f>+#REF!</f>
        <v>#REF!</v>
      </c>
      <c r="DA103" s="3" t="e">
        <f>+#REF!</f>
        <v>#REF!</v>
      </c>
      <c r="DB103" s="3" t="e">
        <f>+#REF!</f>
        <v>#REF!</v>
      </c>
      <c r="DC103" s="3" t="e">
        <f>+#REF!</f>
        <v>#REF!</v>
      </c>
      <c r="DD103" s="3" t="e">
        <f>+#REF!</f>
        <v>#REF!</v>
      </c>
      <c r="DE103" s="3" t="e">
        <f>+#REF!</f>
        <v>#REF!</v>
      </c>
      <c r="DF103" s="3" t="e">
        <f>+#REF!</f>
        <v>#REF!</v>
      </c>
      <c r="DG103" s="3" t="e">
        <f>+#REF!</f>
        <v>#REF!</v>
      </c>
      <c r="DH103" s="3" t="e">
        <f>+#REF!</f>
        <v>#REF!</v>
      </c>
      <c r="DI103" s="3" t="e">
        <f>+#REF!</f>
        <v>#REF!</v>
      </c>
      <c r="DJ103" s="3" t="e">
        <f>+#REF!</f>
        <v>#REF!</v>
      </c>
      <c r="DK103" s="3" t="e">
        <f>+#REF!</f>
        <v>#REF!</v>
      </c>
      <c r="DL103" s="3" t="e">
        <f>+#REF!</f>
        <v>#REF!</v>
      </c>
      <c r="DM103" s="3" t="e">
        <f>+#REF!</f>
        <v>#REF!</v>
      </c>
      <c r="DN103" s="3" t="e">
        <f>+#REF!</f>
        <v>#REF!</v>
      </c>
      <c r="DO103" s="10" t="e">
        <f>IF($DN$6=2,ROUND(VLOOKUP(DV103,許容応力!$L$6:$U$22,8)*1.1/3*100,0),ROUND(VLOOKUP(DV103,許容応力!$L$6:$U$22,8)*1.1/3*1.3*100,0))</f>
        <v>#REF!</v>
      </c>
      <c r="DP103" s="63" t="e">
        <f>ROUND(VLOOKUP(DV103,許容応力!$L$6:$U$22,8)*100*2/3*0.8,0)</f>
        <v>#REF!</v>
      </c>
      <c r="DQ103" s="10" t="e">
        <f>IF($DN$6=2,ROUND(VLOOKUP(DV103,許容応力!$L$6:$U$22,9)*1.1/3*100,0),ROUND(VLOOKUP(DV103,許容応力!$L$6:$U$22,9)*1.1/3*1.3*100,0))</f>
        <v>#REF!</v>
      </c>
      <c r="DR103" s="63" t="e">
        <f>ROUND(VLOOKUP(DV103,許容応力!$L$6:$U$22,9)*100*2/3*0.8,0)</f>
        <v>#REF!</v>
      </c>
      <c r="DS103" s="3" t="e">
        <f>+#REF!</f>
        <v>#REF!</v>
      </c>
      <c r="DT103" s="3" t="e">
        <f>+#REF!</f>
        <v>#REF!</v>
      </c>
      <c r="DU103" s="3" t="e">
        <f>+#REF!</f>
        <v>#REF!</v>
      </c>
      <c r="DV103" s="3" t="e">
        <f>+#REF!</f>
        <v>#REF!</v>
      </c>
      <c r="DW103" s="3" t="e">
        <f>+#REF!</f>
        <v>#REF!</v>
      </c>
      <c r="DX103" s="3" t="e">
        <f>+#REF!</f>
        <v>#REF!</v>
      </c>
      <c r="DY103" s="3" t="e">
        <f>+#REF!</f>
        <v>#REF!</v>
      </c>
      <c r="DZ103" s="3" t="e">
        <f>+#REF!</f>
        <v>#REF!</v>
      </c>
      <c r="EA103" s="3" t="e">
        <f>+#REF!</f>
        <v>#REF!</v>
      </c>
      <c r="EB103" s="3" t="e">
        <f>+#REF!</f>
        <v>#REF!</v>
      </c>
      <c r="EC103" s="3" t="e">
        <f>+#REF!</f>
        <v>#REF!</v>
      </c>
      <c r="ED103" s="3" t="e">
        <f>+#REF!</f>
        <v>#REF!</v>
      </c>
      <c r="EE103" s="3" t="e">
        <f>+#REF!</f>
        <v>#REF!</v>
      </c>
      <c r="EF103" s="3" t="e">
        <f>+#REF!</f>
        <v>#REF!</v>
      </c>
      <c r="EG103" s="3" t="e">
        <f>+#REF!</f>
        <v>#REF!</v>
      </c>
      <c r="EH103" s="3" t="e">
        <f>+#REF!</f>
        <v>#REF!</v>
      </c>
      <c r="EI103" s="3" t="e">
        <f>+#REF!</f>
        <v>#REF!</v>
      </c>
      <c r="EJ103" s="3" t="e">
        <f>+#REF!</f>
        <v>#REF!</v>
      </c>
      <c r="EK103" s="3" t="e">
        <f>+#REF!</f>
        <v>#REF!</v>
      </c>
      <c r="EL103" s="3" t="e">
        <f>+#REF!</f>
        <v>#REF!</v>
      </c>
      <c r="EM103" s="3" t="e">
        <f>+#REF!</f>
        <v>#REF!</v>
      </c>
      <c r="EN103" s="3" t="e">
        <f>+#REF!</f>
        <v>#REF!</v>
      </c>
      <c r="EO103" s="3" t="e">
        <f>+#REF!</f>
        <v>#REF!</v>
      </c>
      <c r="EP103" s="3" t="e">
        <f>+#REF!</f>
        <v>#REF!</v>
      </c>
      <c r="EQ103" s="3" t="e">
        <f>+#REF!</f>
        <v>#REF!</v>
      </c>
      <c r="ER103" s="3" t="e">
        <f>+#REF!</f>
        <v>#REF!</v>
      </c>
      <c r="ES103" s="3" t="e">
        <f>+#REF!</f>
        <v>#REF!</v>
      </c>
      <c r="ET103" s="3" t="e">
        <f>+#REF!</f>
        <v>#REF!</v>
      </c>
      <c r="EU103" s="3" t="e">
        <f>+#REF!</f>
        <v>#REF!</v>
      </c>
      <c r="EV103" s="63" t="e">
        <f>+VLOOKUP(DV103,許容応力!$L$6:$V$22,10)*100</f>
        <v>#REF!</v>
      </c>
      <c r="EW103" s="3" t="e">
        <f>+#REF!</f>
        <v>#REF!</v>
      </c>
      <c r="EX103" s="3" t="e">
        <f>+#REF!</f>
        <v>#REF!</v>
      </c>
      <c r="EY103" s="3" t="e">
        <f>+#REF!</f>
        <v>#REF!</v>
      </c>
      <c r="EZ103" s="3" t="e">
        <f>+#REF!</f>
        <v>#REF!</v>
      </c>
      <c r="FA103" s="3" t="e">
        <f>+#REF!</f>
        <v>#REF!</v>
      </c>
      <c r="FB103" s="3" t="e">
        <f>+#REF!</f>
        <v>#REF!</v>
      </c>
      <c r="FC103" s="3" t="e">
        <f>+#REF!</f>
        <v>#REF!</v>
      </c>
      <c r="FD103" s="3" t="e">
        <f>+#REF!</f>
        <v>#REF!</v>
      </c>
      <c r="FE103" s="3" t="e">
        <f>+#REF!</f>
        <v>#REF!</v>
      </c>
      <c r="FF103" s="3" t="e">
        <f>+#REF!</f>
        <v>#REF!</v>
      </c>
      <c r="FG103" s="3" t="e">
        <f>+#REF!</f>
        <v>#REF!</v>
      </c>
      <c r="FH103" s="3" t="e">
        <f>+#REF!</f>
        <v>#REF!</v>
      </c>
      <c r="FI103" s="3" t="e">
        <f>+#REF!</f>
        <v>#REF!</v>
      </c>
    </row>
    <row r="104" spans="2:186" ht="15.95" customHeight="1" thickBot="1" x14ac:dyDescent="0.2">
      <c r="B104" s="1514"/>
      <c r="C104" s="1498" t="s">
        <v>847</v>
      </c>
      <c r="D104" s="1501" t="s">
        <v>714</v>
      </c>
      <c r="E104" s="296"/>
      <c r="F104" s="572" t="str">
        <f>IF(E104=0,"",ROUND(SQRT(COS(DW104*1.5*PI()/180)),3))</f>
        <v/>
      </c>
      <c r="G104" s="1358"/>
      <c r="H104" s="1358"/>
      <c r="I104" s="1358"/>
      <c r="J104" s="1608"/>
      <c r="K104" s="131"/>
      <c r="L104" s="132"/>
      <c r="M104" s="314" t="s">
        <v>259</v>
      </c>
      <c r="N104" s="1146"/>
      <c r="O104" s="1569"/>
      <c r="P104" s="1125"/>
      <c r="Q104" s="197">
        <f>+IF(P104=0,0,"×")</f>
        <v>0</v>
      </c>
      <c r="R104" s="245">
        <f>IF(P104=0,0,+FP104)</f>
        <v>0</v>
      </c>
      <c r="S104" s="1123"/>
      <c r="T104" s="246" t="str">
        <f>IF(AA104=+"","",IF(AND(AA104&lt;=1,AB104&lt;=1,AD104&lt;=1,AE104&lt;=1),"OK!","NO!"))</f>
        <v/>
      </c>
      <c r="U104" s="246">
        <f>IF(W104=0,0,IF(IF(AC104&gt;=AF104,AC104,AF104)&lt;=1,"OK!","NO!"))</f>
        <v>0</v>
      </c>
      <c r="V104" s="826"/>
      <c r="W104" s="161"/>
      <c r="X104" s="202">
        <f>IF(W104=0,0,+CT104)</f>
        <v>0</v>
      </c>
      <c r="Y104" s="202">
        <f>IF(X104=0,0,ROUND(POWER(W104*X104,2)/(P104/10*IF(V104=0,R104/10,V104/10)),2))</f>
        <v>0</v>
      </c>
      <c r="Z104" s="203" t="str">
        <f>IF(EM104&gt;=EN104,EM104,EN104)</f>
        <v/>
      </c>
      <c r="AA104" s="203" t="str">
        <f>IF(R104=0,"",ROUNDUP(DE104/DM104,2))</f>
        <v/>
      </c>
      <c r="AB104" s="203" t="str">
        <f>IF(R104=0,"",ROUND(DF104/DT104,2))</f>
        <v/>
      </c>
      <c r="AC104" s="203" t="str">
        <f>IF(W104=0,"",ROUND(DG104/DO104,2))</f>
        <v/>
      </c>
      <c r="AD104" s="203" t="str">
        <f>IF(R104=0,"",ROUNDUP(DH104/DN104,2))</f>
        <v/>
      </c>
      <c r="AE104" s="203" t="str">
        <f>IF(R104=0,"",ROUNDUP(DI104/DZ104,2))</f>
        <v/>
      </c>
      <c r="AF104" s="203" t="str">
        <f>IF(W104=0,"",ROUNDUP(DJ104/DP104,2))</f>
        <v/>
      </c>
      <c r="AG104" s="315"/>
      <c r="AH104" s="316"/>
      <c r="AI104" s="315"/>
      <c r="AJ104" s="315"/>
      <c r="AK104" s="202">
        <f>IF(AH104=0,0,ROUND(AG104*AH104+AI104*AJ104,2))</f>
        <v>0</v>
      </c>
      <c r="AL104" s="202" t="str">
        <f>IF(AH104=0,"",IF(EH104&gt;=EJ104,EH104+EZ104,EJ104+FB104))</f>
        <v/>
      </c>
      <c r="AM104" s="250" t="str">
        <f>IF(AL104=+"","",IF(AL104&lt;=1,"OK!","NO!"))</f>
        <v/>
      </c>
      <c r="AN104" s="182">
        <f>+IF(I104=0,0,"1/")</f>
        <v>0</v>
      </c>
      <c r="AO104" s="293">
        <f>IF(I104=0,0,+DS104)</f>
        <v>0</v>
      </c>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9" t="e">
        <f>ROUNDUP((DC104*I104*100/2*3/2/DQ104)+GD104/DQ104+IF(J104=0,0,IF(VALUE(RIGHT(J104,4))=1,EO104/DQ104,0)),2)</f>
        <v>#VALUE!</v>
      </c>
      <c r="CQ104" s="9" t="e">
        <f>ROUNDUP((DD104*I104*100/2*3/2/DR104)+GD104/DR104+IF(J104=0,0,IF(VALUE(RIGHT(J104,4))=1,EP104/DR104,0)),2)</f>
        <v>#VALUE!</v>
      </c>
      <c r="CR104" s="23" t="e">
        <f>IF(CP104&gt;=CQ104,CP104,CQ104)</f>
        <v>#VALUE!</v>
      </c>
      <c r="CS104" s="23" t="e">
        <f>IF(CP104&gt;=CQ104,CP104,CQ104)</f>
        <v>#VALUE!</v>
      </c>
      <c r="CT104" s="9">
        <f>IF(R104=0,0,ROUNDUP(SQRT((Z104*P104/10*IF(V104=0,R104/10,V104/10))/(W104*W104)),2))</f>
        <v>0</v>
      </c>
      <c r="CU104" s="9"/>
      <c r="CV104" s="23"/>
      <c r="CW104" s="23" t="s">
        <v>717</v>
      </c>
      <c r="CX104" s="3" t="e">
        <f>VLOOKUP(VALUE(RIGHT(O104,4)),許容応力!$B$6:$K$22,10)</f>
        <v>#VALUE!</v>
      </c>
      <c r="CY104" s="63"/>
      <c r="CZ104" s="87">
        <f>ROUNDUP(IF(VALUE(RIGHT($G$3,3))=1,DA104*0.7,0),0)</f>
        <v>0</v>
      </c>
      <c r="DA104" s="87" t="e">
        <f>ROUNDUP(IF(VALUE(RIGHT($G$3,4))=1,$I$3*30*F104*100,$I$3*20*F104*100),0)</f>
        <v>#VALUE!</v>
      </c>
      <c r="DB104" s="87"/>
      <c r="DC104" s="87" t="e">
        <f>ROUNDUP(IF(VALUE(RIGHT($F105,4))=1,(準備!$G$60/100+準備!$D$48/100),(準備!$G$15/100+準備!$D$48/100+IF(N105=0,CZ104/100,0)))*($G104+$H104)/2,2)+IF($N105=0,0,$EQ104)</f>
        <v>#VALUE!</v>
      </c>
      <c r="DD104" s="87" t="e">
        <f>ROUNDUP(IF(VALUE(RIGHT($F105,4))=1,(準備!$G$60/100+6),(準備!$G$15/100+6+$DA104/100))*($G104+$H104)/2,2)+IF($N105=0,0,EQ104)</f>
        <v>#VALUE!</v>
      </c>
      <c r="DE104" s="87" t="e">
        <f>ROUNDUP($I104*100*($DC104*$I104*100+2*($GD104+IF(J104=0,0,IF(VALUE(RIGHT($J104,4))=1,$EO104,0))))/2/$DK104,1)</f>
        <v>#VALUE!</v>
      </c>
      <c r="DF104" s="87" t="e">
        <f>ABS(ROUNDUP((3*$DC104*POWER($I104*100,4)+$DC104*$I104*100*$I106*100*(4*POWER($I104*100,2)-POWER($I106*100,2))+8*($GD104+IF(J104=0,0,IF(VALUE(RIGHT($J104,4))=1,$EO104*POWER($I104*100,2)*($I104*100+$I106*100),0))))/(24*$CX104*$DL104*100),2))</f>
        <v>#VALUE!</v>
      </c>
      <c r="DG104" s="87" t="e">
        <f>ROUND(($DC104*$I104*100+(GD104+IF(J104=0,0,IF(VALUE(RIGHT($J104,4))=1,$EO104,0))))/($Y104*3*2),1)</f>
        <v>#VALUE!</v>
      </c>
      <c r="DH104" s="87" t="e">
        <f>ROUNDUP($I104*100*($DD104*$I104*100+2*($GD104+IF(J104=0,0,IF(VALUE(RIGHT($J104,4))=1,$EP104,0))))/2/$DK104,1)</f>
        <v>#VALUE!</v>
      </c>
      <c r="DI104" s="87" t="e">
        <f>ABS(ROUNDUP((3*$DD104*POWER($I104*100,4)+$DD104*$I104*100*$I106*100*(4*POWER($I104*100,2)-POWER($I106*100,2))+8*($GD104+IF(J104=0,0,IF(VALUE(RIGHT($J104,4))=1,$EP104*POWER($I104*100,2)*($I104*100+$I106*100),0))))/(24*$CX104*$DL104*100),2))</f>
        <v>#VALUE!</v>
      </c>
      <c r="DJ104" s="87" t="e">
        <f>ROUND(($DD104*$I104*100+GD104+IF(J104=0,0,IF(VALUE(RIGHT($J104,4))=1,$EP104,0)))/($Y104*3*2),1)</f>
        <v>#VALUE!</v>
      </c>
      <c r="DK104" s="87">
        <f>ROUNDDOWN($P104/10*POWER($R104/10,2)/6*IF(OR($S104=0,$S104=1),1,$S104),0)</f>
        <v>0</v>
      </c>
      <c r="DL104" s="87">
        <f>ROUNDDOWN($P104/10*POWER($R104/10,3)/12*IF(OR($S104=0,$S$98=1),1,$S104),0)</f>
        <v>0</v>
      </c>
      <c r="DM104" s="88" t="e">
        <f>IF($DN$6=2,ROUND(VLOOKUP(DV104,許容応力!$B$6:$K$22,7)*1.1/3*100,0),ROUND(VLOOKUP(DV104,許容応力!$B$6:$K$22,7)*1.1/3*1.3*100,0))</f>
        <v>#VALUE!</v>
      </c>
      <c r="DN104" s="87" t="e">
        <f>ROUND(VLOOKUP(DV104,許容応力!$B$6:$K$22,7)*100*2/3*0.8,0)</f>
        <v>#VALUE!</v>
      </c>
      <c r="DO104" s="88" t="e">
        <f>IF($DN$6=2,ROUND(VLOOKUP(DV104,許容応力!$B$6:$K$22,8)*1.1/3*100,0),ROUND(VLOOKUP(DV104,許容応力!$B$6:$K$22,8)*1.1/3*1.3*100,0))</f>
        <v>#VALUE!</v>
      </c>
      <c r="DP104" s="87" t="e">
        <f>ROUND(VLOOKUP(DV104,許容応力!$B$6:$K$22,8)*100*2/3*0.8,0)</f>
        <v>#VALUE!</v>
      </c>
      <c r="DQ104" s="88" t="e">
        <f>IF($DN$6=2,ROUND(VLOOKUP(DV104,許容応力!$B$6:$K$22,9)*1.1/3*100,0),ROUND(VLOOKUP(DV104,許容応力!$B$6:$K$22,9)*1.1/3*100*1.3,0))</f>
        <v>#VALUE!</v>
      </c>
      <c r="DR104" s="87" t="e">
        <f>ROUND(VLOOKUP(DV104,許容応力!$B$6:$K$22,9)*100*2/3*0.8,0)</f>
        <v>#VALUE!</v>
      </c>
      <c r="DS104" s="87">
        <v>600</v>
      </c>
      <c r="DT104" s="87">
        <f>ROUND(I104*100/DS104,2)</f>
        <v>0</v>
      </c>
      <c r="DU104" s="87"/>
      <c r="DV104" s="87" t="e">
        <f>+VALUE(RIGHT(O104,3))</f>
        <v>#VALUE!</v>
      </c>
      <c r="DW104" s="89">
        <f>ROUND(ATAN(E104/10)*180/PI(),4)</f>
        <v>0</v>
      </c>
      <c r="DX104" s="90">
        <f>ROUND(COS(DW104*PI()/180),3)</f>
        <v>1</v>
      </c>
      <c r="DY104" s="87">
        <v>225</v>
      </c>
      <c r="DZ104" s="87">
        <f>ROUND(I104*100/DY104,2)</f>
        <v>0</v>
      </c>
      <c r="EA104" s="87"/>
      <c r="EB104" s="87" t="e">
        <f>ROUNDUP((準備!$G$60/100+準備!$E$48/100)*($G104+$H104)/2,2)+IF(J104=0,0,IF(VALUE(RIGHT($J104,4))=1,$EQ104,0))</f>
        <v>#N/A</v>
      </c>
      <c r="EC104" s="87"/>
      <c r="ED104" s="87"/>
      <c r="EE104" s="87"/>
      <c r="EF104" s="87"/>
      <c r="EG104" s="87" t="e">
        <f>ROUND(DC104*I104*100/2/AK104,1)</f>
        <v>#VALUE!</v>
      </c>
      <c r="EH104" s="87" t="e">
        <f>ROUND(EG104/DQ104,2)</f>
        <v>#VALUE!</v>
      </c>
      <c r="EI104" s="87" t="e">
        <f>ROUND(DD104*I104*100/2/AK104,1)</f>
        <v>#VALUE!</v>
      </c>
      <c r="EJ104" s="87" t="e">
        <f>ROUND(EI104/DR104,2)</f>
        <v>#VALUE!</v>
      </c>
      <c r="EK104" s="63" t="e">
        <f>IF(ES104=2,0,ROUNDUP(IF(F104&gt;=F105,F104,F105)*EC104/#REF!,2))</f>
        <v>#VALUE!</v>
      </c>
      <c r="EL104" s="63" t="e">
        <f>IF(ES104=2,0,ROUNDUP(IF(F104&gt;=F105,F104,F105)*ED104/#REF!,2))</f>
        <v>#VALUE!</v>
      </c>
      <c r="EM104" s="87" t="str">
        <f>IF(E104=0,"",ROUND(DC104*I104*100/2/DO104,1))</f>
        <v/>
      </c>
      <c r="EN104" s="87" t="str">
        <f>IF(E104=0,"",ROUND(DD104*I104*100/2/DP104,1))</f>
        <v/>
      </c>
      <c r="EO104" s="87">
        <f>IF($L104=0,0,ROUNDUP((準備!$G$57/$DX104+IF(AND(VALUE(RIGHT($G$3,4))=1,$T$3=2),$CZ104/$DX104*1.2,$CZ104/$DX104))*($K104+$K105)/2*($L104+$L105)/2,0))</f>
        <v>0</v>
      </c>
      <c r="EP104" s="87">
        <f>IF(L104=0,0,ROUNDUP((準備!$G$57/DX104+IF(AND(VALUE(RIGHT($G$3,4))=1,$T$3=2),DA104/DX104*1.2,DA104/DX104))*(K104+K105)/2*(L104+L105)/2,0))</f>
        <v>0</v>
      </c>
      <c r="EQ104" s="63">
        <f>IF($N105=0,0,ROUND(VLOOKUP(VALUE(RIGHT($N104,4)),$M$600:$O$605,3)/10000*N105*100,2))</f>
        <v>0</v>
      </c>
      <c r="ER104" s="63">
        <f>IF(J104=0,0,IF(VALUE(RIGHT(J104,4))=2,0,ROUNDUP(J108*100*J109*100/(I104*100)*EO104/DK104,1)))</f>
        <v>0</v>
      </c>
      <c r="ES104" s="63">
        <f>IF(FC104=2,0,ROUNDUP(J108*J109/I104*100*EP104/DK104,1))</f>
        <v>0</v>
      </c>
      <c r="ET104" s="63">
        <f>IF(FC104=2,0,IF(FC104=0,0,ROUNDUP(EO104*IF(J108&gt;=J109,J108,J109)*SQRT(POWER(ABS(POWER(J108,2)-POWER(J109,2)),3)/(9*SQRT(3)*EV104*DL104*I104)),2)))</f>
        <v>0</v>
      </c>
      <c r="EU104" s="63">
        <f>IF(FC104=2,0,ROUNDUP(EP104*IF(J108&gt;=J109,J108,J109)*SQRT(POWER(ABS(POWER(J108,2)-POWER(J109,2)),3)/(9*SQRT(3)*EV104*DL104*I104)),2))</f>
        <v>0</v>
      </c>
      <c r="EV104" s="63" t="e">
        <f>+VLOOKUP(DV104,許容応力!$B$6:$K$22,10)*100</f>
        <v>#VALUE!</v>
      </c>
      <c r="EW104" s="63">
        <f>+$GD104+IF(J104=0,0,IF(VALUE(RIGHT($J104,4))=1,$EO104,0))</f>
        <v>0</v>
      </c>
      <c r="EX104" s="63">
        <f>+$GD$98+IF(J104=0,0,IF(VALUE(RIGHT($J104,4))=1,$EP104,0))</f>
        <v>0</v>
      </c>
      <c r="EY104" s="63" t="e">
        <f>ROUND(EW104/AK104,1)</f>
        <v>#DIV/0!</v>
      </c>
      <c r="EZ104" s="63" t="e">
        <f>ROUND(EY104/DQ104,2)</f>
        <v>#DIV/0!</v>
      </c>
      <c r="FA104" s="63" t="e">
        <f>ROUND(EX104/AK104,1)</f>
        <v>#DIV/0!</v>
      </c>
      <c r="FB104" s="63" t="e">
        <f>ROUND(FA104/DR104,2)</f>
        <v>#DIV/0!</v>
      </c>
      <c r="FC104" s="63">
        <f>IF(J104=0,2,+VALUE(RIGHT(J104,3)))</f>
        <v>2</v>
      </c>
      <c r="FD104" s="63">
        <f>IF($DN$6=2,400,200)</f>
        <v>200</v>
      </c>
      <c r="FE104" s="63">
        <f>ROUND(I104*100/FD104,2)</f>
        <v>0</v>
      </c>
      <c r="FF104" s="63">
        <v>200</v>
      </c>
      <c r="FG104" s="63">
        <f>ROUND(I104*100/FF104,2)</f>
        <v>0</v>
      </c>
      <c r="FH104" s="78" t="e">
        <f>ROUND(ET104/FE104,1)</f>
        <v>#DIV/0!</v>
      </c>
      <c r="FI104" s="78" t="e">
        <f>ROUND(EU104/FG104,1)</f>
        <v>#DIV/0!</v>
      </c>
      <c r="FJ104" s="78"/>
      <c r="FK104" s="63" t="e">
        <f>IF(FR104&lt;21,21,IF(AND(FR104&gt;21,FR104&lt;=24),24,IF(AND(FR104&gt;30,FR104&lt;=40),40,IF(AND(FR104&gt;40,FR104&lt;=45),45,IF(AND(FR104&gt;60,FR104&lt;=75),75,IF(AND(FR104&gt;90,FR104&lt;=105),105,IF(AND(FR104&gt;120,FR104&lt;=135),135,ROUNDUP(FR104/3,-1)*3)))))))</f>
        <v>#VALUE!</v>
      </c>
      <c r="FL104" s="63" t="e">
        <f>IF(FS104&lt;21,21,IF(AND(FS104&gt;21,FS104&lt;=24),24,IF(AND(FS104&gt;30,FS104&lt;=40),40,IF(AND(FS104&gt;40,FS104&lt;=45),45,IF(AND(FS104&gt;60,FS104&lt;=75),75,IF(AND(FS104&gt;90,FS104&lt;=105),105,IF(AND(FS104&gt;120,FS104&lt;=135),135,ROUNDUP(FS104/3,-1)*3)))))))</f>
        <v>#VALUE!</v>
      </c>
      <c r="FN104" s="63" t="e">
        <f>IF(FU104&lt;21,21,IF(AND(FU104&gt;21,FU104&lt;=24),24,IF(AND(FU104&gt;30,FU104&lt;=40),40,IF(AND(FU104&gt;40,FU104&lt;=45),45,IF(AND(FU104&gt;60,FU104&lt;=75),75,IF(AND(FU104&gt;90,FU104&lt;=105),105,IF(AND(FU104&gt;120,FU104&lt;=135),135,ROUNDUP(FU104/3,-1)*3)))))))</f>
        <v>#VALUE!</v>
      </c>
      <c r="FO104" s="63" t="e">
        <f>IF(FV104&lt;21,21,IF(AND(FV104&gt;21,FV104&lt;=24),24,IF(AND(FV104&gt;30,FV104&lt;=40),40,IF(AND(FV104&gt;40,FV104&lt;=45),45,IF(AND(FV104&gt;60,FV104&lt;=75),75,IF(AND(FV104&gt;90,FV104&lt;=105),105,IF(AND(FV104&gt;120,FV104&lt;=135),135,ROUNDUP(FV104/3,-1)*3)))))))</f>
        <v>#VALUE!</v>
      </c>
      <c r="FP104" s="155" t="e">
        <f>+MAX(FK104:FO104)</f>
        <v>#VALUE!</v>
      </c>
      <c r="FQ104" s="2"/>
      <c r="FR104" s="87" t="e">
        <f>ROUND(SQRT(FX104/($P106/10)*6/IF(OR($S106=0,$S106=1),1,$S106))*10,0)</f>
        <v>#VALUE!</v>
      </c>
      <c r="FS104" s="87" t="e">
        <f>POWER(ROUND(FY104/($P106/10)*12/IF(OR($S106=0,$S106=1),1,$S106),0),1/3)*10</f>
        <v>#VALUE!</v>
      </c>
      <c r="FU104" s="87" t="e">
        <f>ROUND(SQRT(GA104/($P106/10)*6/IF(OR($S106=0,$S106=1),1,$S106))*10,0)</f>
        <v>#VALUE!</v>
      </c>
      <c r="FV104" s="87" t="e">
        <f>POWER(ROUND(GB104/($P106/10)*12/IF(OR($S106=0,$S106=1),1,$S106),0),1/3)*10</f>
        <v>#VALUE!</v>
      </c>
      <c r="FW104" s="2"/>
      <c r="FX104" s="87" t="e">
        <f>ROUNDUP($I104*100*($DC104*$I104*100+2*($GD104+IF(J104=0,0,IF(VALUE(RIGHT($J104,4))=1,$EO104,0))))/2/$DM104,1)</f>
        <v>#VALUE!</v>
      </c>
      <c r="FY104" s="87" t="e">
        <f>ABS(ROUNDUP((3*$DC104*POWER($I104*100,4)+$DC104*$I104*100*$I106*100*(4*POWER($I104*100,2)-POWER($I106*100,2))+8*($GD104+IF(J104=0,0,IF(VALUE(RIGHT($J104,4))=1,$EO104*POWER($I104*100,2)*($I104*100+$I106*100),0))))/(24*$CX104*$DT104*100),2))</f>
        <v>#VALUE!</v>
      </c>
      <c r="FZ104" s="87"/>
      <c r="GA104" s="87" t="e">
        <f>ROUNDUP($I104*100*($DD104*$I104*100+2*($GD104+IF(J104=0,0,IF(VALUE(RIGHT($J104,4))=1,$EP104,0))))/2/$DN104,1)</f>
        <v>#VALUE!</v>
      </c>
      <c r="GB104" s="87" t="e">
        <f>ABS(ROUNDUP((3*$DD104*POWER($I104*100,4)+$DD104*$I104*100*$I106*100*(4*POWER($I104*100,2)-POWER($I106*100,2))+8*($GD104+IF(J104=0,0,IF(VALUE(RIGHT($J104,4))=1,$EP104*POWER($I104*100,2)*($I104*100+$I106*100),0))))/(24*$CX104*$DZ104*100),2))</f>
        <v>#VALUE!</v>
      </c>
      <c r="GD104" s="63">
        <f>IF($J109=0,0,VLOOKUP(VALUE(RIGHT($J$102,4)),$M$600:$O$605,3)/10000*(N108+N109)/2*100*J109*100)</f>
        <v>0</v>
      </c>
    </row>
    <row r="105" spans="2:186" ht="15.95" customHeight="1" x14ac:dyDescent="0.15">
      <c r="B105" s="1514"/>
      <c r="C105" s="1499"/>
      <c r="D105" s="1502"/>
      <c r="E105" s="583" t="s">
        <v>716</v>
      </c>
      <c r="F105" s="1131"/>
      <c r="G105" s="1359"/>
      <c r="H105" s="1359"/>
      <c r="I105" s="1359"/>
      <c r="J105" s="1609"/>
      <c r="K105" s="212"/>
      <c r="L105" s="213"/>
      <c r="M105" s="310" t="s">
        <v>263</v>
      </c>
      <c r="N105" s="301"/>
      <c r="O105" s="1575"/>
      <c r="P105" s="1193">
        <f>+IF(O104=0,0,"丸太末口 φ")</f>
        <v>0</v>
      </c>
      <c r="Q105" s="1194"/>
      <c r="R105" s="239">
        <f>IF(O104=0,0,+FP105)</f>
        <v>0</v>
      </c>
      <c r="S105" s="1120"/>
      <c r="T105" s="240" t="str">
        <f>IF(AA105=+"","",IF(AND(AA105&lt;=1,AB105&lt;=1,AD105&lt;=1,AE105&lt;=1),"OK!","NO!"))</f>
        <v/>
      </c>
      <c r="U105" s="240">
        <f>IF(W105=0,0,IF(IF(AC105&gt;=AF105,AC105,AF105)&lt;=1,"OK!","NO!"))</f>
        <v>0</v>
      </c>
      <c r="V105" s="827"/>
      <c r="W105" s="159"/>
      <c r="X105" s="205">
        <f>IF(W105=0,0,+CT105)</f>
        <v>0</v>
      </c>
      <c r="Y105" s="205" t="str">
        <f>IF(X105=0,"",ROUND(POWER(W105*X105,2)/(IF(V105=0,(R105/10-6)*(R105/10-3),(V105/10-6)*(V105/10-3))),2))</f>
        <v/>
      </c>
      <c r="Z105" s="206" t="str">
        <f>IF(EM105&gt;=EN105,EM105,EN105)</f>
        <v/>
      </c>
      <c r="AA105" s="206" t="str">
        <f>IF(R105=0,"",ROUNDUP(DE105/DM105,2))</f>
        <v/>
      </c>
      <c r="AB105" s="206" t="str">
        <f>IF(R105=0,"",ROUND(DF105/DT105,2))</f>
        <v/>
      </c>
      <c r="AC105" s="206" t="str">
        <f>IF(W105=0,"",ROUND(DG105/DO105,2))</f>
        <v/>
      </c>
      <c r="AD105" s="206" t="str">
        <f>IF(R105=0,"",ROUNDUP(DH105/DN105,2))</f>
        <v/>
      </c>
      <c r="AE105" s="206" t="str">
        <f>IF(R105=0,"",ROUNDUP(DI105/DZ105,2))</f>
        <v/>
      </c>
      <c r="AF105" s="206" t="str">
        <f>IF(W105=0,"",ROUNDUP(DJ105/DP105,2))</f>
        <v/>
      </c>
      <c r="AG105" s="333"/>
      <c r="AH105" s="333"/>
      <c r="AI105" s="334"/>
      <c r="AJ105" s="334"/>
      <c r="AK105" s="318">
        <f>IF(AH105=0,0,ROUND(AG105*AH105+AI105*AJ105,2))</f>
        <v>0</v>
      </c>
      <c r="AL105" s="318" t="str">
        <f>IF(AH105=0,"",IF(EH105&gt;=EJ105,EH105+EZ105,EJ105+FB105))</f>
        <v/>
      </c>
      <c r="AM105" s="248" t="str">
        <f>IF(AL105=+"","",IF(AL105&lt;=1,"OK!","NO!"))</f>
        <v/>
      </c>
      <c r="AN105" s="184">
        <f>+AN104</f>
        <v>0</v>
      </c>
      <c r="AO105" s="185">
        <f>+AO104</f>
        <v>0</v>
      </c>
      <c r="AP105" s="23"/>
      <c r="AQ105" s="23"/>
      <c r="CN105" s="23"/>
      <c r="CO105" s="23"/>
      <c r="CP105" s="9" t="e">
        <f>ROUNDUP((DC105*I104*100/2*4/3/DQ105)+GD105/DQ105+IF(J104=0,0,IF(VALUE(RIGHT(J104,4))=1,EO105/DQ105,0)),2)</f>
        <v>#VALUE!</v>
      </c>
      <c r="CQ105" s="9" t="e">
        <f>ROUNDUP((DD105*I104*100/2*4/3/DR105)+GD105/DR105+IF(J104=0,0,IF(VALUE(RIGHT(J104,4))=1,EP105/DR105,0)),2)</f>
        <v>#VALUE!</v>
      </c>
      <c r="CR105" s="23" t="e">
        <f>IF(CP105&gt;=CQ105,CP105,CQ105)</f>
        <v>#VALUE!</v>
      </c>
      <c r="CS105" s="23" t="e">
        <f>IF(CP105&gt;=CQ105,CP105,CQ105)</f>
        <v>#VALUE!</v>
      </c>
      <c r="CT105" s="9">
        <f>IF(R105=0,0,ROUNDUP(SQRT(IF(V105=0,(Z105*(R105/10-6)*(R105/10-3)),(Z105*(V105/10-6)*(V105/10-3)))/(W105*W105)),2))</f>
        <v>0</v>
      </c>
      <c r="CU105" s="9"/>
      <c r="CV105" s="23"/>
      <c r="CW105" s="23"/>
      <c r="CY105" s="63"/>
      <c r="CZ105" s="63">
        <f>ROUNDUP(IF(VALUE(RIGHT($G$3,3))=1,DA105*0.7,0),0)</f>
        <v>0</v>
      </c>
      <c r="DA105" s="63" t="e">
        <f>ROUNDUP(IF(VALUE(RIGHT($G$3,4))=1,$I$3*30*F104*100,$I$3*20*F104*100),0)</f>
        <v>#VALUE!</v>
      </c>
      <c r="DB105" s="63"/>
      <c r="DC105" s="87" t="e">
        <f>ROUNDUP(IF(VALUE(RIGHT($F105,4))=1,(準備!$G$60/100+準備!$D$48/100),(準備!$G$15/100+準備!$D$48/100+IF(N105=0,CZ105/100,0)))*($G104+$H104)/2,2)+IF($N105=0,0,$EQ105)</f>
        <v>#VALUE!</v>
      </c>
      <c r="DD105" s="87" t="e">
        <f>ROUNDUP(IF(VALUE(RIGHT($F105,4))=1,(準備!$G$60/100+6),(準備!$G$15/100+6+$DA104/100))*($G104+$H104)/2,2)+IF($N105=0,0,EQ105)</f>
        <v>#VALUE!</v>
      </c>
      <c r="DE105" s="63">
        <f>IF($R105=0,0,ROUNDUP($I104*100*($DC105*$I104*100+2*($GD105+IF(J104=0,0,IF(VALUE(RIGHT($J104,4))=1,$EO104,0))))/2/$DK105,1))</f>
        <v>0</v>
      </c>
      <c r="DF105" s="87" t="e">
        <f>ABS(ROUNDUP((3*$DC105*POWER($I104*100,4)+$DC105*$I104*100*$I106*100*(4*POWER($I104*100,2)-POWER($I106*100,2))+8*($GD104+IF(J104=0,0,IF(VALUE(RIGHT($J104,4))=1,$EO105*POWER($I104*100,2)*($I104*100+$I106*100),0))))/(24*$CX104*$DL105*100),2))</f>
        <v>#VALUE!</v>
      </c>
      <c r="DG105" s="87" t="e">
        <f>ROUND(($DC105*$I104*100+(GD104+IF(J104=0,0,IF(VALUE(RIGHT($J104,4))=1,$EO105,0))))/($Y105*3*2),1)</f>
        <v>#VALUE!</v>
      </c>
      <c r="DH105" s="63">
        <f>IF($R105=0,0,ROUNDUP($I104*100*($DD105*$I104*100+2*($GD104+IF(J104=0,0,IF(VALUE(RIGHT($J104,4))=1,$EP104,0))))/2/$DK105,1))</f>
        <v>0</v>
      </c>
      <c r="DI105" s="87" t="e">
        <f>ABS(ROUNDUP((3*$DD105*POWER($I104*100,4)+$DD105*$I104*100*$I106*100*(4*POWER($I104*100,2)-POWER($I106*100,2))+8*($GD104+IF(J104=0,0,IF(VALUE(RIGHT($J104,4))=1,$EP105*POWER($I104*100,2)*($I104*100+$I106*100),0))))/(24*$CX104*$DL105*100),2))</f>
        <v>#VALUE!</v>
      </c>
      <c r="DJ105" s="87" t="e">
        <f>ROUND(($DD105*$I104*100+GD104+IF(J104=0,0,IF(VALUE(RIGHT($J104,4))=1,$EP105,0)))/($Y105*3*2),1)</f>
        <v>#VALUE!</v>
      </c>
      <c r="DK105" s="63">
        <f>IF(R105&lt;180,ROUND((R105/10-3)*POWER(R105/10-3,2)/6*IF(S105=0,1,S105),0),ROUND((R105/10-5)*POWER(R105/10-3,2)/6*IF($S105=0,1,$S105),0))</f>
        <v>-5</v>
      </c>
      <c r="DL105" s="63">
        <f>ROUND(IF(R105&lt;180,(R105/10-3)*POWER((R105/10-3),3)/12*IF(S105=0,1,S105),(R105/10-5))*POWER((R105/10-3),3)/12*IF(S105=0,1,S105),0)</f>
        <v>-15</v>
      </c>
      <c r="DM105" s="10" t="e">
        <f>IF($DN$6=2,ROUND(VLOOKUP(DV105,許容応力!$L$6:$U$22,7)*1.1/3*100,0),ROUND(VLOOKUP(DV105,許容応力!$L$6:$U$22,7)*1.1/3*1.3*100,0))</f>
        <v>#VALUE!</v>
      </c>
      <c r="DN105" s="63" t="e">
        <f>ROUND(VLOOKUP(DV105,許容応力!$L$6:$U$22,7)*100*2/3*0.8,0)</f>
        <v>#VALUE!</v>
      </c>
      <c r="DO105" s="10" t="e">
        <f>IF($DN$6=2,ROUND(VLOOKUP(DV105,許容応力!$L$6:$U$22,8)*1.1/3*100,0),ROUND(VLOOKUP(DV105,許容応力!$L$6:$U$22,8)*1.1/3*1.3*100,0))</f>
        <v>#VALUE!</v>
      </c>
      <c r="DP105" s="63" t="e">
        <f>ROUND(VLOOKUP(DV105,許容応力!$L$6:$U$22,8)*100*2/3*0.8,0)</f>
        <v>#VALUE!</v>
      </c>
      <c r="DQ105" s="10" t="e">
        <f>IF($DN$6=2,ROUND(VLOOKUP(DV105,許容応力!$L$6:$U$22,9)*1.1/3*100,0),ROUND(VLOOKUP(DV105,許容応力!$L$6:$U$22,9)*1.1/3*1.3*100,0))</f>
        <v>#VALUE!</v>
      </c>
      <c r="DR105" s="63" t="e">
        <f>ROUND(VLOOKUP(DV105,許容応力!$L$6:$U$22,9)*100*2/3*0.8,0)</f>
        <v>#VALUE!</v>
      </c>
      <c r="DS105" s="63">
        <v>600</v>
      </c>
      <c r="DT105" s="63">
        <f>ROUND(I104*100/DS105,2)</f>
        <v>0</v>
      </c>
      <c r="DU105" s="63"/>
      <c r="DV105" s="78" t="e">
        <f>+VALUE(RIGHT(O104,3))</f>
        <v>#VALUE!</v>
      </c>
      <c r="DW105" s="69">
        <f>ROUND(ATAN(E104/10)*180/PI(),4)</f>
        <v>0</v>
      </c>
      <c r="DX105" s="70">
        <f>ROUND(COS(DW105*PI()/180),3)</f>
        <v>1</v>
      </c>
      <c r="DY105" s="63">
        <v>225</v>
      </c>
      <c r="DZ105" s="63">
        <f>ROUND(I104*100/DY105,2)</f>
        <v>0</v>
      </c>
      <c r="EA105" s="63"/>
      <c r="EB105" s="78" t="e">
        <f>ROUNDUP((準備!$G$60/100+準備!$E$48/100)*($G104+$H104)/2,2)+IF(J104=0,0,IF(VALUE(RIGHT($J104,4))=1,$EQ105,0))</f>
        <v>#N/A</v>
      </c>
      <c r="EC105" s="63"/>
      <c r="ED105" s="71">
        <f>IF(I104&lt;6,POWER(R105/10,2)*I104/10000,POWER((R105/10+(ROUNDDOWN(I104,0)-4)/2),2)*I104/10000)</f>
        <v>0</v>
      </c>
      <c r="EE105" s="63">
        <v>200</v>
      </c>
      <c r="EF105" s="84">
        <f>ROUND(ED105*EE105/100,0)</f>
        <v>0</v>
      </c>
      <c r="EG105" s="63" t="e">
        <f>ROUND((DC105*I104*100/2+EF105)/AK105,1)</f>
        <v>#VALUE!</v>
      </c>
      <c r="EH105" s="63" t="e">
        <f>ROUND(EG105/DQ105,2)</f>
        <v>#VALUE!</v>
      </c>
      <c r="EI105" s="63" t="e">
        <f>ROUND((DD105*I104*100/2+EF105)/AK105,1)</f>
        <v>#VALUE!</v>
      </c>
      <c r="EJ105" s="63" t="e">
        <f>ROUND(EI105/DR105,2)</f>
        <v>#VALUE!</v>
      </c>
      <c r="EK105" s="63" t="e">
        <f>ROUNDUP(IF(F104&gt;=F105,F104,F105)*EC105/#REF!,2)</f>
        <v>#VALUE!</v>
      </c>
      <c r="EL105" s="63" t="e">
        <f>ROUNDUP(IF(F104&gt;=F105,F104,F105)*ED105/#REF!,2)</f>
        <v>#VALUE!</v>
      </c>
      <c r="EM105" s="87" t="str">
        <f>IF(E104=0,"",ROUND(DC105*I104*100/2/DO105,1))</f>
        <v/>
      </c>
      <c r="EN105" s="87" t="str">
        <f>IF(E104=0,"",ROUND(DD105*I104*100/2/DP105,1))</f>
        <v/>
      </c>
      <c r="EO105" s="63">
        <f>IF(L104=0,0,ROUNDUP((準備!$G$57/DX105+IF(AND(VALUE(RIGHT($G$3,4))=1,$T$3=2),CZ105/DX105*1.2,CZ105/DX105))*(K104+K105)/2*(L104+L105)/2,0))</f>
        <v>0</v>
      </c>
      <c r="EP105" s="63">
        <f>IF(L104=0,0,ROUNDUP((準備!$G$57/DX105+IF(AND(VALUE(RIGHT($G$3,4))=1,$T$3=2),DA105/DX105*1.2,DA105/DX105))*(K104+K105)/2*(L104+L105)/2,0))</f>
        <v>0</v>
      </c>
      <c r="EQ105" s="63">
        <f>+EQ104</f>
        <v>0</v>
      </c>
      <c r="ER105" s="63">
        <f>IF(J104=0,0,IF(VALUE(RIGHT(J104,4))=2,0,ROUNDUP(J108*100*J109*100/(I104*100)*EO105/DK105,1)))</f>
        <v>0</v>
      </c>
      <c r="ES105" s="63" t="e">
        <f>IF(FC105=2,0,ROUNDUP(N276*J109/I104*100*EP105/DK105,1))</f>
        <v>#VALUE!</v>
      </c>
      <c r="ET105" s="63" t="e">
        <f>ROUNDUP(EO105*IF(J108&gt;=J109,J108*100,J109*100)*SQRT(POWER(ABS(POWER(J108,2)-POWER(J109,2)),3)/(9*SQRT(3)*EV105*DL105*I104)),2)</f>
        <v>#VALUE!</v>
      </c>
      <c r="EU105" s="63" t="e">
        <f>ROUNDUP(EP105*IF(J108&gt;=J109,J108*100,J109*100)*SQRT(POWER(ABS(POWER(J108,2)-POWER(J109,2)),3)/(9*SQRT(3)*EV105*DL105*I104)),2)</f>
        <v>#VALUE!</v>
      </c>
      <c r="EV105" s="63" t="e">
        <f>+VLOOKUP(DV105,許容応力!$L$6:$V$22,10)*100</f>
        <v>#VALUE!</v>
      </c>
      <c r="EW105" s="63">
        <f>+$GD104+IF(J104=0,0,IF(VALUE(RIGHT($J104,4))=1,$EO105,0))</f>
        <v>0</v>
      </c>
      <c r="EX105" s="63">
        <f>+$GD$98+IF(J104=0,0,IF(VALUE(RIGHT($J104,4))=1,$EP105,0))</f>
        <v>0</v>
      </c>
      <c r="EY105" s="63" t="e">
        <f>ROUND(EW105/AK105,1)</f>
        <v>#DIV/0!</v>
      </c>
      <c r="EZ105" s="63" t="e">
        <f>ROUND(EY105/DQ105,2)</f>
        <v>#DIV/0!</v>
      </c>
      <c r="FA105" s="63" t="e">
        <f>ROUND(EX105/AK105,1)</f>
        <v>#DIV/0!</v>
      </c>
      <c r="FB105" s="63" t="e">
        <f>ROUND(FA105/DR105,2)</f>
        <v>#DIV/0!</v>
      </c>
      <c r="FC105" s="63" t="e">
        <f>+VALUE(RIGHT(J104,3))</f>
        <v>#VALUE!</v>
      </c>
      <c r="FD105" s="63">
        <f>IF($DN$6=2,400,200)</f>
        <v>200</v>
      </c>
      <c r="FE105" s="63">
        <f>ROUND(I104*100/FD105,2)</f>
        <v>0</v>
      </c>
      <c r="FF105" s="78">
        <v>200</v>
      </c>
      <c r="FG105" s="63">
        <f>ROUND(I104*100/FF105,2)</f>
        <v>0</v>
      </c>
      <c r="FH105" s="78" t="e">
        <f>ROUND(ET105/FE105,1)</f>
        <v>#VALUE!</v>
      </c>
      <c r="FI105" s="78" t="e">
        <f>ROUND(EU105/FG105,1)</f>
        <v>#VALUE!</v>
      </c>
      <c r="FJ105" s="78"/>
      <c r="FK105" s="63" t="e">
        <f>IF(S105=0.8,VLOOKUP(FR105,$CR$395:$CS$439,2),IF(S105=0.9,VLOOKUP(FR105,$CR$348:$CS$394,2),VLOOKUP(FR105,$CR$301:$CS$344,2)))</f>
        <v>#VALUE!</v>
      </c>
      <c r="FL105" s="63" t="e">
        <f>IF(S105=0.8,VLOOKUP(FS105,$CT$395:$CU$439,2),IF(S105=0.9,VLOOKUP(FS105,$CT$348:$CU$394,2),VLOOKUP(FS105,$CT$301:$CU$344,2)))</f>
        <v>#VALUE!</v>
      </c>
      <c r="FN105" s="63" t="e">
        <f>IF(S105=0.8,VLOOKUP(FU105,$CR$395:$CS$439,2),IF(S105=0.9,VLOOKUP(FU105,$CR$348:$CS$394,2),VLOOKUP(FU105,$CR$301:$CS$344,2)))</f>
        <v>#VALUE!</v>
      </c>
      <c r="FO105" s="63" t="e">
        <f>IF(S105=0.8,VLOOKUP(FV105,$CT$395:$CU$439,2),IF(S105=0.9,VLOOKUP(FV105,$CT$348:$CU$394,2),VLOOKUP(FV105,$CT$301:$CU$344,2)))</f>
        <v>#VALUE!</v>
      </c>
      <c r="FP105" s="155" t="e">
        <f>+MAX(FK105:FO105)</f>
        <v>#VALUE!</v>
      </c>
      <c r="FQ105" s="2"/>
      <c r="FR105" s="63" t="e">
        <f>ROUNDUP($I104*100*($DC105*$I104*100+2*($GD105+IF(J104=0,0,IF(VALUE(RIGHT($J104,4))=1,$EO104,0))))/2/$DM105,1)</f>
        <v>#VALUE!</v>
      </c>
      <c r="FS105" s="87" t="e">
        <f>ABS(ROUNDUP((3*$DC105*POWER($I104*100,4)+$DC105*$I104*100*$I106*100*(4*POWER($I104*100,2)-POWER($I106*100,2))+8*($GD104+IF(J104=0,0,IF(VALUE(RIGHT($J104,4))=1,$EO105*POWER($I104*100,2)*($I104*100+$I106*100),0))))/(24*$CX104*$DT105*100),2))</f>
        <v>#VALUE!</v>
      </c>
      <c r="FT105" s="87"/>
      <c r="FU105" s="63" t="e">
        <f>ROUNDUP($I104*100*($DD105*$I104*100+2*($GD104+IF(J104=0,0,IF(VALUE(RIGHT($J104,4))=1,$EP104,0))))/2/$DN105,1)</f>
        <v>#VALUE!</v>
      </c>
      <c r="FV105" s="87" t="e">
        <f>ABS(ROUNDUP((3*$DD105*POWER($I104*100,4)+$DD105*$I104*100*$I106*100*(4*POWER($I104*100,2)-POWER($I106*100,2))+8*($GD104+IF(J104=0,0,IF(VALUE(RIGHT($J104,4))=1,$EP105*POWER($I104*100,2)*($I104*100+$I106*100),0))))/(24*$CX104*$DZ105*100),2))</f>
        <v>#VALUE!</v>
      </c>
      <c r="FW105" s="2"/>
      <c r="FX105" s="2"/>
      <c r="FY105" s="2"/>
      <c r="FZ105" s="2"/>
      <c r="GA105" s="2"/>
      <c r="GB105" s="2"/>
      <c r="GD105" s="63">
        <f>+GD104</f>
        <v>0</v>
      </c>
    </row>
    <row r="106" spans="2:186" ht="15.95" customHeight="1" thickBot="1" x14ac:dyDescent="0.2">
      <c r="B106" s="1514"/>
      <c r="C106" s="1499"/>
      <c r="D106" s="1376" t="s">
        <v>715</v>
      </c>
      <c r="E106" s="1509">
        <f>+E104</f>
        <v>0</v>
      </c>
      <c r="F106" s="1510" t="str">
        <f>IF(E106=0,"",ROUND(SQRT(COS(DW106*1.5*PI()/180)),3))</f>
        <v/>
      </c>
      <c r="G106" s="1359"/>
      <c r="H106" s="1359"/>
      <c r="I106" s="1359"/>
      <c r="J106" s="303"/>
      <c r="K106" s="302"/>
      <c r="L106" s="302"/>
      <c r="M106" s="309" t="s">
        <v>259</v>
      </c>
      <c r="N106" s="1147"/>
      <c r="O106" s="1598">
        <f>+O104</f>
        <v>0</v>
      </c>
      <c r="P106" s="305">
        <f>+P104</f>
        <v>0</v>
      </c>
      <c r="Q106" s="195">
        <f>+IF(P106=0,0,"×")</f>
        <v>0</v>
      </c>
      <c r="R106" s="237">
        <f>IF(P106=0,0,+FP106)</f>
        <v>0</v>
      </c>
      <c r="S106" s="1119"/>
      <c r="T106" s="238" t="str">
        <f>IF(AA106=+"","",IF(AND(AA106&lt;=1,AB106&lt;=1,AD106&lt;=1,AE106&lt;=1),"OK!","NO!"))</f>
        <v/>
      </c>
      <c r="U106" s="238">
        <f>IF(W106=0,0,IF(IF(AC106&gt;=AF106,AC106,AF106)&lt;=1,"OK!","NO!"))</f>
        <v>0</v>
      </c>
      <c r="V106" s="828"/>
      <c r="W106" s="157"/>
      <c r="X106" s="198">
        <f>IF(W106=0,0,+CT106)</f>
        <v>0</v>
      </c>
      <c r="Y106" s="198">
        <f>IF(X106=0,0,ROUND(POWER(W106*X106,2)/(P106/10*IF(V106=0,R106/10,V106/10)),2))</f>
        <v>0</v>
      </c>
      <c r="Z106" s="199" t="str">
        <f>IF(EM106&gt;=EN106,EM106,EN106)</f>
        <v/>
      </c>
      <c r="AA106" s="199" t="str">
        <f>IF(R106=0,"",ROUNDUP((DE106)/DM106,2))</f>
        <v/>
      </c>
      <c r="AB106" s="199" t="str">
        <f>IF(R106=0,"",ROUND(DF106/DT106,2))</f>
        <v/>
      </c>
      <c r="AC106" s="199" t="str">
        <f>IF(W106=0,"",ROUND(DG106/DO106,2))</f>
        <v/>
      </c>
      <c r="AD106" s="199" t="str">
        <f>IF(R106=0,"",ROUNDUP((DH106)/DN106,2))</f>
        <v/>
      </c>
      <c r="AE106" s="199" t="str">
        <f>IF(R106=0,"",ROUNDUP(DI106/DZ106,2))</f>
        <v/>
      </c>
      <c r="AF106" s="201" t="str">
        <f>IF(W106=0,"",ROUNDUP(DJ106/DP106,2))</f>
        <v/>
      </c>
      <c r="AG106" s="327"/>
      <c r="AH106" s="321"/>
      <c r="AI106" s="328"/>
      <c r="AJ106" s="328"/>
      <c r="AK106" s="321"/>
      <c r="AL106" s="321"/>
      <c r="AM106" s="322"/>
      <c r="AN106" s="186">
        <f>IF(I106=0,0,+AN104)</f>
        <v>0</v>
      </c>
      <c r="AO106" s="295">
        <f>IF(I106=0,0,+DS106)</f>
        <v>0</v>
      </c>
      <c r="CP106" s="9" t="e">
        <f>ROUNDUP((DC106*I106*100/2*3/2/DQ106),2)</f>
        <v>#N/A</v>
      </c>
      <c r="CQ106" s="9" t="e">
        <f>ROUNDUP((DD106*I106*100/2*3/2/DR106),2)</f>
        <v>#N/A</v>
      </c>
      <c r="CR106" s="23" t="e">
        <f>IF(CP106&gt;=CQ106,CP106,CQ106)</f>
        <v>#N/A</v>
      </c>
      <c r="CS106" s="23" t="e">
        <f>IF(CP106&gt;=CQ106,CP106,CQ106)</f>
        <v>#N/A</v>
      </c>
      <c r="CT106" s="9">
        <f>IF(R106=0,0,ROUNDUP(SQRT((Z106*P106/10*IF(V106=0,R106/10,V106/10))/(W106*W106)),2))</f>
        <v>0</v>
      </c>
      <c r="CU106" s="9"/>
      <c r="CV106" s="23"/>
      <c r="CW106" s="23" t="e">
        <f>ROUND((POWER(I106*100,2)-POWER(I104*100,2))/2/(I106*100),2)</f>
        <v>#DIV/0!</v>
      </c>
      <c r="CY106" s="63"/>
      <c r="CZ106" s="87">
        <f>ROUNDUP(IF(VALUE(RIGHT($G$3,3))=1,DA106*0.7,0),0)</f>
        <v>0</v>
      </c>
      <c r="DA106" s="87" t="e">
        <f>ROUNDUP(IF(VALUE(RIGHT($G$3,4))=1,$I$3*30*F106*100,$I$3*20*F106*100),0)</f>
        <v>#VALUE!</v>
      </c>
      <c r="DB106" s="87"/>
      <c r="DC106" s="87" t="e">
        <f>ROUNDUP((準備!$G$60/100+準備!$D$48/100)*($G106+$H106)/2,2)+IF($M109=0,0,$EQ106)</f>
        <v>#N/A</v>
      </c>
      <c r="DD106" s="87">
        <f>ROUNDUP((準備!$G$60/100+6)*(G106+H106)/2,2)+IF(M109=0,0,EQ106)</f>
        <v>0</v>
      </c>
      <c r="DE106" s="87" t="e">
        <f>ABS(ROUNDUP(($DC106*$I106*100*POWER($CW106,2)-2*($GD104+$EO104*$I104*100*$CW106))/2/($I106*100)/$DK106,1))</f>
        <v>#N/A</v>
      </c>
      <c r="DF106" s="87" t="e">
        <f>ABS(ROUNDUP((5*$DC106*POWER($I106*100,4)-$DC106*POWER($I104*100,2)-24.6528*($GD104+IF(J104=0,0,IF(VALUE(RIGHT($J104,4))=1,$EO104*$I104*100*POWER($I106*100,2),0))))/(384*VLOOKUP(VALUE(RIGHT($O104,4)),許容応力!$B$6:$K$22,10)*100*$DL106*100),2))</f>
        <v>#N/A</v>
      </c>
      <c r="DG106" s="87" t="e">
        <f>ROUND(($DC106*($I106*100-$CW106)+(GD104*I104*100/(I106*100)+IF(J104=0,0,IF(VALUE(RIGHT($J104,4))=1,$EO104*$I104*100/($I106*100),0))))/($Y106*3*2),1)</f>
        <v>#N/A</v>
      </c>
      <c r="DH106" s="87" t="e">
        <f>ABS(ROUNDUP(($DD106*$I106*100*POWER($CW106,2)-2*($GD104+IF(J104=0,0,IF(VALUE(RIGHT($J104,4))=1,$EP104*$I104*100*$CW106,0))))/2/($I106*100)/$DK106,1))</f>
        <v>#DIV/0!</v>
      </c>
      <c r="DI106" s="87" t="e">
        <f>ABS(ROUNDUP((5*$DD106*POWER($I106*100,4)-$DD106*POWER($I104*100,2)-24.6528*($GD104+$EP104*$I104*100*POWER($I106*100,2)))/(384*VLOOKUP(VALUE(RIGHT($O104,4)),許容応力!$B$6:$K$22,10)*100*$DL106*100),2))</f>
        <v>#VALUE!</v>
      </c>
      <c r="DJ106" s="87" t="e">
        <f>ROUND(($DD106*($I106*100-$CW106)+(GD104*I104*100/(I106*100)+IF(J104=0,0,IF(VALUE(RIGHT($J104,4))=1,$EP104*$I104*100/($I106*100),0))))/($Y106*3*2),1)</f>
        <v>#DIV/0!</v>
      </c>
      <c r="DK106" s="87">
        <f>ROUNDDOWN($P106/10*POWER($R106/10,2)/6*IF(OR($S106=0,$S106=1),1,$S106),0)</f>
        <v>0</v>
      </c>
      <c r="DL106" s="87">
        <f>ROUNDDOWN($P106/10*POWER($R106/10,3)/12*IF(OR($S106=0,$S106=1),1,$S106),0)</f>
        <v>0</v>
      </c>
      <c r="DM106" s="88" t="e">
        <f>IF($DN$6=2,ROUND(VLOOKUP(DV106,許容応力!$B$6:$K$22,7)*1.1/3*100,0),ROUND(VLOOKUP(DV106,許容応力!$B$6:$K$22,7)*1.1/3*1.3*100,0))</f>
        <v>#N/A</v>
      </c>
      <c r="DN106" s="87" t="e">
        <f>ROUND(VLOOKUP(DV106,許容応力!$B$6:$K$22,7)*100*2/3*0.8,0)</f>
        <v>#N/A</v>
      </c>
      <c r="DO106" s="88" t="e">
        <f>IF($DN$6=2,ROUND(VLOOKUP(DV106,許容応力!$B$6:$K$22,8)*1.1/3*100,0),ROUND(VLOOKUP(DV106,許容応力!$B$6:$K$22,8)*1.1/3*1.3*100,0))</f>
        <v>#N/A</v>
      </c>
      <c r="DP106" s="87" t="e">
        <f>ROUND(VLOOKUP(DV106,許容応力!$B$6:$K$22,8)*100*2/3*0.8,0)</f>
        <v>#N/A</v>
      </c>
      <c r="DQ106" s="88" t="e">
        <f>IF($DN$6=2,ROUND(VLOOKUP(DV106,許容応力!$B$6:$K$22,9)*1.1/3*100,0),ROUND(VLOOKUP(DV106,許容応力!$B$6:$K$22,9)*1.1/3*100*1.3,0))</f>
        <v>#N/A</v>
      </c>
      <c r="DR106" s="87" t="e">
        <f>ROUND(VLOOKUP(DV106,許容応力!$B$6:$K$22,9)*100*2/3*0.8,0)</f>
        <v>#N/A</v>
      </c>
      <c r="DS106" s="87">
        <v>600</v>
      </c>
      <c r="DT106" s="87">
        <f>ROUND(I106*100/DS106,2)</f>
        <v>0</v>
      </c>
      <c r="DU106" s="87"/>
      <c r="DV106" s="87">
        <f>+VALUE(RIGHT(O106,3))</f>
        <v>0</v>
      </c>
      <c r="DW106" s="89">
        <f>ROUND(ATAN(E106/10)*180/PI(),4)</f>
        <v>0</v>
      </c>
      <c r="DX106" s="90">
        <f>ROUND(COS(DW106*PI()/180),3)</f>
        <v>1</v>
      </c>
      <c r="DY106" s="87">
        <v>225</v>
      </c>
      <c r="DZ106" s="87">
        <f>ROUND(I106*100/DY106,2)</f>
        <v>0</v>
      </c>
      <c r="EA106" s="87"/>
      <c r="EB106" s="87" t="e">
        <f>ROUNDUP((準備!$G$60/100+準備!$E$48/100)*($G106+$H106)/2,2)+IF(J104=0,0,IF(VALUE(RIGHT($J104,4))=1,$EQ106,0))</f>
        <v>#N/A</v>
      </c>
      <c r="EC106" s="87"/>
      <c r="ED106" s="87"/>
      <c r="EE106" s="87"/>
      <c r="EF106" s="87"/>
      <c r="EG106" s="87" t="e">
        <f>ROUND(DC106*I106*100/2/AK106,1)</f>
        <v>#N/A</v>
      </c>
      <c r="EH106" s="87" t="e">
        <f>ROUND(EG106/DQ106,2)</f>
        <v>#N/A</v>
      </c>
      <c r="EI106" s="87" t="e">
        <f>ROUND(DD106*I106*100/2/AK106,1)</f>
        <v>#DIV/0!</v>
      </c>
      <c r="EJ106" s="87" t="e">
        <f>ROUND(EI106/DR106,2)</f>
        <v>#DIV/0!</v>
      </c>
      <c r="EK106" s="63" t="e">
        <f>IF(ES106=2,0,ROUNDUP(IF(F106&gt;=F107,F106,F107)*EC106/#REF!,2))</f>
        <v>#VALUE!</v>
      </c>
      <c r="EL106" s="63" t="e">
        <f>IF(ES106=2,0,ROUNDUP(IF(F106&gt;=F107,F106,F107)*ED106/#REF!,2))</f>
        <v>#VALUE!</v>
      </c>
      <c r="EM106" s="87" t="str">
        <f>IF(E106=0,"",ROUND(DC106*I106*100/2/DO106,1))</f>
        <v/>
      </c>
      <c r="EN106" s="87" t="str">
        <f>IF(E106=0,"",ROUND(DD106*I106*100/2/DP106,1))</f>
        <v/>
      </c>
      <c r="EO106" s="87">
        <f>IF(L104=0,0,ROUNDUP((準備!$G$57/DX106+IF(AND(VALUE(RIGHT($G$3,4))=1,$T$3=2),CZ106/DX106*1.2,CZ106/DX106))*(K104+K105)/2*(L104+L105)/2,0))</f>
        <v>0</v>
      </c>
      <c r="EP106" s="87">
        <f>IF(L104=0,0,ROUNDUP((準備!$G$57/DX106+IF(AND(VALUE(RIGHT($G$3,4))=1,$T$3=2),DA106/DX106*1.2,DA106/DX106))*(K104+K105)/2*(L104+L105)/2,0))</f>
        <v>0</v>
      </c>
      <c r="EQ106" s="63">
        <f>IF(N107=0,0,VLOOKUP(VALUE(RIGHT(N106,4)),$M$600:$O$605,3)/10000*N107*100)</f>
        <v>0</v>
      </c>
      <c r="ER106" s="63">
        <f>IF(J106=0,0,IF(VALUE(RIGHT(J106,4))=2,0,ROUNDUP(N108*100*N109*100/(I106*100)*EO106/DK106,1)))</f>
        <v>0</v>
      </c>
      <c r="ES106" s="63" t="e">
        <f>IF(FC106=2,0,ROUNDUP(N108*N109/I106*100*EP106/DK106,1))</f>
        <v>#VALUE!</v>
      </c>
      <c r="ET106" s="63" t="e">
        <f>IF(FC106=2,0,IF(FC106=0,0,ROUNDUP(EO106*IF(N108&gt;=N109,N108,N109)*SQRT(POWER(ABS(POWER(N108,2)-POWER(N109,2)),3)/(9*SQRT(3)*EV106*DL106*I106)),2)))</f>
        <v>#VALUE!</v>
      </c>
      <c r="EU106" s="63" t="e">
        <f>IF(FC106=2,0,ROUNDUP(EP106*IF(N108&gt;=N109,N108,N109)*SQRT(POWER(ABS(POWER(N108,2)-POWER(N109,2)),3)/(9*SQRT(3)*EV106*DL106*I106)),2))</f>
        <v>#VALUE!</v>
      </c>
      <c r="EV106" s="63" t="e">
        <f>+VLOOKUP(DV106,許容応力!$B$6:$K$22,10)*100</f>
        <v>#N/A</v>
      </c>
      <c r="EW106" s="63" t="e">
        <f>IF(FC106=2,0,ROUNDUP(IF(N108&gt;=N109,N108,N109)*EO106/I106,0))</f>
        <v>#VALUE!</v>
      </c>
      <c r="EX106" s="63" t="e">
        <f>IF(FC106=2,0,ROUNDUP(IF(N108&gt;=N109,N108,N109)*EP106/I106,0))</f>
        <v>#VALUE!</v>
      </c>
      <c r="EY106" s="63" t="e">
        <f>ROUND(EW106*100/AK106,1)</f>
        <v>#VALUE!</v>
      </c>
      <c r="EZ106" s="63" t="e">
        <f>ROUND(EY106/DQ106,2)</f>
        <v>#VALUE!</v>
      </c>
      <c r="FA106" s="63" t="e">
        <f>ROUND(EX106*100/AK106,1)</f>
        <v>#VALUE!</v>
      </c>
      <c r="FB106" s="63" t="e">
        <f>ROUND(FA106/DR106,2)</f>
        <v>#VALUE!</v>
      </c>
      <c r="FC106" s="63" t="e">
        <f>+VALUE(RIGHT(J104,3))</f>
        <v>#VALUE!</v>
      </c>
      <c r="FD106" s="63">
        <f>IF($DN$6=2,400,200)</f>
        <v>200</v>
      </c>
      <c r="FE106" s="63">
        <f>ROUND(I106*100/FD106,2)</f>
        <v>0</v>
      </c>
      <c r="FF106" s="63">
        <v>200</v>
      </c>
      <c r="FG106" s="63">
        <f>ROUND(I106*100/FF106,2)</f>
        <v>0</v>
      </c>
      <c r="FH106" s="78" t="e">
        <f>ROUND(ET106/FE106,1)</f>
        <v>#VALUE!</v>
      </c>
      <c r="FI106" s="78" t="e">
        <f>ROUND(EU106/FG106,1)</f>
        <v>#VALUE!</v>
      </c>
      <c r="FJ106" s="78"/>
      <c r="FK106" s="63" t="e">
        <f>IF(FR106&lt;21,21,IF(AND(FR106&gt;21,FR106&lt;=24),24,IF(AND(FR106&gt;30,FR106&lt;=40),40,IF(AND(FR106&gt;40,FR106&lt;=45),45,IF(AND(FR106&gt;60,FR106&lt;=75),75,IF(AND(FR106&gt;90,FR106&lt;=105),105,IF(AND(FR106&gt;120,FR106&lt;=135),135,ROUNDUP(FR106/3,-1)*3)))))))</f>
        <v>#N/A</v>
      </c>
      <c r="FL106" s="63" t="e">
        <f>IF(FS106&lt;21,21,IF(AND(FS106&gt;21,FS106&lt;=24),24,IF(AND(FS106&gt;30,FS106&lt;=40),40,IF(AND(FS106&gt;40,FS106&lt;=45),45,IF(AND(FS106&gt;60,FS106&lt;=75),75,IF(AND(FS106&gt;90,FS106&lt;=105),105,IF(AND(FS106&gt;120,FS106&lt;=135),135,ROUNDUP(FS106/3,-1)*3)))))))</f>
        <v>#N/A</v>
      </c>
      <c r="FN106" s="63" t="e">
        <f>IF(FU106&lt;21,21,IF(AND(FU106&gt;21,FU106&lt;=24),24,IF(AND(FU106&gt;30,FU106&lt;=40),40,IF(AND(FU106&gt;40,FU106&lt;=45),45,IF(AND(FU106&gt;60,FU106&lt;=75),75,IF(AND(FU106&gt;90,FU106&lt;=105),105,IF(AND(FU106&gt;120,FU106&lt;=135),135,ROUNDUP(FU106/3,-1)*3)))))))</f>
        <v>#DIV/0!</v>
      </c>
      <c r="FO106" s="63" t="e">
        <f>IF(FV106&lt;21,21,IF(AND(FV106&gt;21,FV106&lt;=24),24,IF(AND(FV106&gt;30,FV106&lt;=40),40,IF(AND(FV106&gt;40,FV106&lt;=45),45,IF(AND(FV106&gt;60,FV106&lt;=75),75,IF(AND(FV106&gt;90,FV106&lt;=105),105,IF(AND(FV106&gt;120,FV106&lt;=135),135,ROUNDUP(FV106/3,-1)*3)))))))</f>
        <v>#VALUE!</v>
      </c>
      <c r="FP106" s="155" t="e">
        <f>+MAX(FK106:FO106)</f>
        <v>#N/A</v>
      </c>
      <c r="FQ106" s="2"/>
      <c r="FR106" s="87" t="e">
        <f>ROUND(SQRT(FX106/($P106/10)*6/IF(OR($S106=0,$S106=1),1,$S106))*10,0)</f>
        <v>#N/A</v>
      </c>
      <c r="FS106" s="87" t="e">
        <f>POWER(ROUND(FY106/($P106/10)*12/IF(OR($S106=0,$S106=1),1,$S106),0),1/3)*10</f>
        <v>#N/A</v>
      </c>
      <c r="FU106" s="87" t="e">
        <f>ROUND(SQRT(GA106/($P106/10)*6/IF(OR($S106=0,$S106=1),1,$S106))*10,0)</f>
        <v>#DIV/0!</v>
      </c>
      <c r="FV106" s="87" t="e">
        <f>POWER(ROUND(GB106/($P106/10)*12/IF(OR($S106=0,$S106=1),1,$S106),0),1/3)*10</f>
        <v>#VALUE!</v>
      </c>
      <c r="FW106" s="2"/>
      <c r="FX106" s="87" t="e">
        <f>ABS(ROUNDUP(($DC106*$I106*100*POWER($CW106,2)-2*($EQ104+$EO104*$I104*100*$CW106))/2/($I106*100)/$DM106,1))</f>
        <v>#N/A</v>
      </c>
      <c r="FY106" s="87" t="e">
        <f>ABS(ROUNDUP((5*$DC106*POWER($I106*100,4)-$DC106*POWER($I104*100,2)-24.6528*($GD104+IF(J104=0,0,IF(VALUE(RIGHT($J104,4))=1,$EO104*$I104*100*POWER($I106*100,2),0))))/(384*VLOOKUP(VALUE(RIGHT($O104,4)),許容応力!$B$6:$K$22,10)*100*$DT106),2))</f>
        <v>#N/A</v>
      </c>
      <c r="FZ106" s="87"/>
      <c r="GA106" s="87" t="e">
        <f>ABS(ROUNDUP(($DD106*$I106*100*POWER($CW106,2)-2*($EQ104+IF(J104=0,0,IF(VALUE(RIGHT($J104,4))=1,$EP104*$I104*100*$CW106,0))))/2/($I106*100)/$DN106,1))</f>
        <v>#DIV/0!</v>
      </c>
      <c r="GB106" s="87" t="e">
        <f>ABS(ROUNDUP((5*$DD106*POWER($I106*100,4)-$DD106*POWER($I104*100,2)-24.6528*($GD104+$EP104*$I104*100*POWER($I106*100,2)))/(384*VLOOKUP(VALUE(RIGHT($O104,4)),許容応力!$B$6:$K$22,10)*100*$DZ106),2))</f>
        <v>#VALUE!</v>
      </c>
    </row>
    <row r="107" spans="2:186" ht="15.95" customHeight="1" x14ac:dyDescent="0.15">
      <c r="B107" s="1514"/>
      <c r="C107" s="1499"/>
      <c r="D107" s="1502"/>
      <c r="E107" s="1509"/>
      <c r="F107" s="1511"/>
      <c r="G107" s="1359"/>
      <c r="H107" s="1359"/>
      <c r="I107" s="1359"/>
      <c r="J107" s="304"/>
      <c r="K107" s="300"/>
      <c r="L107" s="300"/>
      <c r="M107" s="310" t="s">
        <v>263</v>
      </c>
      <c r="N107" s="301"/>
      <c r="O107" s="1605"/>
      <c r="P107" s="1193">
        <f>+IF(O104=0,0,"丸太末口 φ")</f>
        <v>0</v>
      </c>
      <c r="Q107" s="1194"/>
      <c r="R107" s="239">
        <f>IF(O104=0,0,+FP107)</f>
        <v>0</v>
      </c>
      <c r="S107" s="1120"/>
      <c r="T107" s="240" t="str">
        <f>IF(AA107=+"","",IF(AND(AA107&lt;=1,AB107&lt;=1,AD107&lt;=1,AE107&lt;=1),"OK!","NO!"))</f>
        <v/>
      </c>
      <c r="U107" s="240">
        <f>IF(W107=0,0,IF(IF(AC107&gt;=AF107,AC107,AF107)&lt;=1,"OK!","NO!"))</f>
        <v>0</v>
      </c>
      <c r="V107" s="827"/>
      <c r="W107" s="159"/>
      <c r="X107" s="205">
        <f>IF(W107=0,0,+CT107)</f>
        <v>0</v>
      </c>
      <c r="Y107" s="205" t="str">
        <f>IF(X107=0,"",ROUND(POWER(W107*X107,2)/(IF(V107=0,(R107/10-6)*(R107/10-3),(V107/10-6)*(V107/10-3))),2))</f>
        <v/>
      </c>
      <c r="Z107" s="206" t="str">
        <f>IF(EM107&gt;=EN107,EM107,EN107)</f>
        <v/>
      </c>
      <c r="AA107" s="206" t="str">
        <f>IF(R107=0,"",ROUNDUP(DE107/DM107,2))</f>
        <v/>
      </c>
      <c r="AB107" s="206" t="str">
        <f>IF(R107=0,"",ROUND(DF107/DT107,2))</f>
        <v/>
      </c>
      <c r="AC107" s="206" t="str">
        <f>IF(W107=0,"",ROUND(DG107/DO107,2))</f>
        <v/>
      </c>
      <c r="AD107" s="206" t="str">
        <f>IF(R107=0,"",ROUNDUP(DH107/DN107,2))</f>
        <v/>
      </c>
      <c r="AE107" s="206" t="str">
        <f>IF(R107=0,"",ROUNDUP(DI107/DZ107,2))</f>
        <v/>
      </c>
      <c r="AF107" s="206" t="str">
        <f>IF(W107=0,"",ROUNDUP(DJ107/DP107,2))</f>
        <v/>
      </c>
      <c r="AG107" s="323"/>
      <c r="AH107" s="324"/>
      <c r="AI107" s="324"/>
      <c r="AJ107" s="324"/>
      <c r="AK107" s="325"/>
      <c r="AL107" s="325"/>
      <c r="AM107" s="589"/>
      <c r="AN107" s="184">
        <f>IF(I106=0,0,+AN104)</f>
        <v>0</v>
      </c>
      <c r="AO107" s="185">
        <f>IF(I106=0,0,+AO106)</f>
        <v>0</v>
      </c>
      <c r="CP107" s="9" t="e">
        <f>ROUNDUP((DC107*I106*100/2*4/3/DQ107),2)</f>
        <v>#N/A</v>
      </c>
      <c r="CQ107" s="9" t="e">
        <f>ROUNDUP((DD107*I106*100/2*4/3/DR107),2)</f>
        <v>#N/A</v>
      </c>
      <c r="CR107" s="23" t="e">
        <f>IF(CP107&gt;=CQ107,CP107,CQ107)</f>
        <v>#N/A</v>
      </c>
      <c r="CS107" s="23" t="e">
        <f>IF(CP107&gt;=CQ107,CP107,CQ107)</f>
        <v>#N/A</v>
      </c>
      <c r="CT107" s="9">
        <f>IF(R107=0,0,ROUNDUP(SQRT(IF(V107=0,(Z107*(R107/10-6)*(R107/10-3)),(Z107*(V107/10-6)*(V107/10-3)))/(W107*W107)),2))</f>
        <v>0</v>
      </c>
      <c r="CU107" s="9"/>
      <c r="CV107" s="23"/>
      <c r="CW107" s="23"/>
      <c r="CY107" s="63"/>
      <c r="CZ107" s="63">
        <f>ROUNDUP(IF(VALUE(RIGHT($G$3,3))=1,DA107*0.7,0),0)</f>
        <v>0</v>
      </c>
      <c r="DA107" s="63" t="e">
        <f>ROUNDUP(IF(VALUE(RIGHT($G$3,4))=1,$I$3*30*F106*100,$I$3*20*F106*100),0)</f>
        <v>#VALUE!</v>
      </c>
      <c r="DB107" s="63"/>
      <c r="DC107" s="78" t="e">
        <f>ROUNDUP((準備!$G$60/100+準備!$D$48/100)*($G106+$H106)/2,2)+IF($M109=0,0,$EQ107)</f>
        <v>#N/A</v>
      </c>
      <c r="DD107" s="78">
        <f>ROUNDUP((準備!$G$60/100+6)*(G106+H106)/2,2)+IF(M109=0,0,EQ107)</f>
        <v>0</v>
      </c>
      <c r="DE107" s="87" t="e">
        <f>ABS(ROUNDUP(($DC107*$I106*100*POWER($CW106,2)-2*($GD105+$EO104*$I104*100*$CW106))/2/($I106*100)/$DK107,1))</f>
        <v>#N/A</v>
      </c>
      <c r="DF107" s="87" t="e">
        <f>ABS(ROUNDUP((5*$DC107*POWER($I106*100,4)-$DC107*POWER($I104*100,2)-24.6528*($GD104+IF(J104=0,0,IF(VALUE(RIGHT($J104,4))=1,$EO105*$I104*100*POWER($I106*100,2),0))))/(384*VLOOKUP(VALUE(RIGHT($O104,4)),許容応力!$B$6:$K$22,10)*100*$DL107*100),2))</f>
        <v>#N/A</v>
      </c>
      <c r="DG107" s="87" t="e">
        <f>ROUND(($DC107*($I106*100-$CW106)+(GD104*I104*100/(I106*100)+IF(J104=0,0,IF(VALUE(RIGHT($J104,4))=1,$EO104*$I104*100/($I106*100),0))))/($Y107*3*2),1)</f>
        <v>#N/A</v>
      </c>
      <c r="DH107" s="87" t="e">
        <f>ABS(ROUNDUP(($DD107*$I106*100*POWER($CW106,2)-2*($GD104+IF(J104=0,0,IF(VALUE(RIGHT($J104,4))=1,$EP104*$I104*100*$CW106,0))))/2/($I106*100)/$DK107,1))</f>
        <v>#DIV/0!</v>
      </c>
      <c r="DI107" s="87" t="e">
        <f>ABS(ROUNDUP((5*$DD107*POWER($I106*100,4)-$DD107*POWER($I104*100,2)-24.6528*($GD104+$EP105*$I104*100*POWER($I106*100,2)))/(384*VLOOKUP(VALUE(RIGHT($O104,4)),許容応力!$B$6:$K$22,10)*100*$DL107*100),2))</f>
        <v>#VALUE!</v>
      </c>
      <c r="DJ107" s="87" t="e">
        <f>ROUND(($DD107*($I106*100-$CW106)+(GD104*I104*100/(I106*100)+IF(J104=0,0,IF(VALUE(RIGHT($J104,4))=1,$EP104*$I104*100/($I106*100),0))))/($Y107*3*2),1)</f>
        <v>#DIV/0!</v>
      </c>
      <c r="DK107" s="63">
        <f>ROUNDDOWN(PI()*POWER($R107/2/10,2)*($R107/10-IF($R107&lt;180,2,6))/4*IF(OR($S107=0,$S107=1),1,$S107),0)</f>
        <v>0</v>
      </c>
      <c r="DL107" s="63">
        <f>ROUNDDOWN(PI()*POWER($R107/2/10,3)*($R107/10-IF($R107&lt;180,0,6))/4*IF(OR($S107=0,$S107=1),1,$S107),0)</f>
        <v>0</v>
      </c>
      <c r="DM107" s="10" t="e">
        <f>IF($DN$6=2,ROUND(VLOOKUP(DV107,許容応力!$L$6:$U$22,7)*1.1/3*100,0),ROUND(VLOOKUP(DV107,許容応力!$L$6:$U$22,7)*1.1/3*1.3*100,0))</f>
        <v>#N/A</v>
      </c>
      <c r="DN107" s="63" t="e">
        <f>ROUND(VLOOKUP(DV107,許容応力!$L$6:$U$22,7)*100*2/3*0.8,0)</f>
        <v>#N/A</v>
      </c>
      <c r="DO107" s="10" t="e">
        <f>IF($DN$6=2,ROUND(VLOOKUP(DV107,許容応力!$L$6:$U$22,8)*1.1/3*100,0),ROUND(VLOOKUP(DV107,許容応力!$L$6:$U$22,8)*1.1/3*1.3*100,0))</f>
        <v>#N/A</v>
      </c>
      <c r="DP107" s="63" t="e">
        <f>ROUND(VLOOKUP(DV107,許容応力!$L$6:$U$22,8)*100*2/3*0.8,0)</f>
        <v>#N/A</v>
      </c>
      <c r="DQ107" s="10" t="e">
        <f>IF($DN$6=2,ROUND(VLOOKUP(DV107,許容応力!$L$6:$U$22,9)*1.1/3*100,0),ROUND(VLOOKUP(DV107,許容応力!$L$6:$U$22,9)*1.1/3*1.3*100,0))</f>
        <v>#N/A</v>
      </c>
      <c r="DR107" s="63" t="e">
        <f>ROUND(VLOOKUP(DV107,許容応力!$L$6:$U$22,9)*100*2/3*0.8,0)</f>
        <v>#N/A</v>
      </c>
      <c r="DS107" s="63">
        <v>600</v>
      </c>
      <c r="DT107" s="63">
        <f>ROUND(I106*100/DS107,2)</f>
        <v>0</v>
      </c>
      <c r="DU107" s="63"/>
      <c r="DV107" s="78">
        <f>+VALUE(RIGHT(O106,3))</f>
        <v>0</v>
      </c>
      <c r="DW107" s="69">
        <f>ROUND(ATAN(E106/10)*180/PI(),4)</f>
        <v>0</v>
      </c>
      <c r="DX107" s="70">
        <f>ROUND(COS(DW107*PI()/180),3)</f>
        <v>1</v>
      </c>
      <c r="DY107" s="63">
        <v>225</v>
      </c>
      <c r="DZ107" s="63">
        <f>ROUND(I106*100/DY107,2)</f>
        <v>0</v>
      </c>
      <c r="EA107" s="63"/>
      <c r="EB107" s="78" t="e">
        <f>ROUNDUP((準備!$G$60/100+準備!$E$48/100)*($G106+$H106)/2,2)+IF(J104=0,0,IF(VALUE(RIGHT($J104,4))=1,$EQ107,0))</f>
        <v>#N/A</v>
      </c>
      <c r="EC107" s="63"/>
      <c r="ED107" s="71">
        <f>IF(I106&lt;6,POWER(R107/10,2)*I106/10000,POWER((R107/10+(ROUNDDOWN(I106,0)-4)/2),2)*I106/10000)</f>
        <v>0</v>
      </c>
      <c r="EE107" s="63">
        <v>200</v>
      </c>
      <c r="EF107" s="84">
        <f>ROUND(ED107*EE107/100,0)</f>
        <v>0</v>
      </c>
      <c r="EG107" s="63" t="e">
        <f>ROUND((DC107*I106*100/2+EF107)/AK107,1)</f>
        <v>#N/A</v>
      </c>
      <c r="EH107" s="63" t="e">
        <f>ROUND(EG107/DQ107,2)</f>
        <v>#N/A</v>
      </c>
      <c r="EI107" s="63" t="e">
        <f>ROUND((DD107*I106*100/2+EF107)/AK107,1)</f>
        <v>#DIV/0!</v>
      </c>
      <c r="EJ107" s="63" t="e">
        <f>ROUND(EI107/DR107,2)</f>
        <v>#DIV/0!</v>
      </c>
      <c r="EK107" s="63" t="e">
        <f>ROUNDUP(IF(F106&gt;=F107,F106,F107)*EC107/#REF!,2)</f>
        <v>#VALUE!</v>
      </c>
      <c r="EL107" s="63" t="e">
        <f>ROUNDUP(IF(F106&gt;=F107,F106,F107)*ED107/#REF!,2)</f>
        <v>#VALUE!</v>
      </c>
      <c r="EM107" s="87" t="str">
        <f>IF(E106=0,"",ROUND(DC107*I106*100/2/DO107,1))</f>
        <v/>
      </c>
      <c r="EN107" s="87" t="str">
        <f>IF(E106=0,"",ROUND(DD107*I106*100/2/DP107,1))</f>
        <v/>
      </c>
      <c r="EO107" s="63">
        <f>IF(L104=0,0,ROUNDUP((準備!$G$57/DX107+IF(AND(VALUE(RIGHT($G$3,4))=1,$T$3=2),CZ107/DX107*1.2,CZ107/DX107))*(K104+K105)/2*(L104+L105)/2,0))</f>
        <v>0</v>
      </c>
      <c r="EP107" s="63">
        <f>IF(L104=0,0,ROUNDUP((準備!$G$57/DX107+IF(AND(VALUE(RIGHT($G$3,4))=1,$T$3=2),DA107/DX107*1.2,DA107/DX107))*(K104+K105)/2*(L104+L105)/2,0))</f>
        <v>0</v>
      </c>
      <c r="EQ107" s="63">
        <f>+EQ106</f>
        <v>0</v>
      </c>
      <c r="ER107" s="63" t="e">
        <f>IF(VALUE(RIGHT(J106,4))=2,0,ROUNDUP(N108*100*N109*100/(I106*100)*EO107/DK107,1))</f>
        <v>#VALUE!</v>
      </c>
      <c r="ES107" s="63" t="e">
        <f>IF(FC107=2,0,ROUNDUP(N278*N109/I106*100*EP107/DK107,1))</f>
        <v>#VALUE!</v>
      </c>
      <c r="ET107" s="63" t="e">
        <f>ROUNDUP(EO107*IF(N108&gt;=N109,N108*100,N109*100)*SQRT(POWER(ABS(POWER(N108,2)-POWER(N109,2)),3)/(9*SQRT(3)*EV107*DL107*I106)),2)</f>
        <v>#N/A</v>
      </c>
      <c r="EU107" s="63" t="e">
        <f>ROUNDUP(EP107*IF(N108&gt;=N109,N108*100,N109*100)*SQRT(POWER(ABS(POWER(N108,2)-POWER(N109,2)),3)/(9*SQRT(3)*EV107*DL107*I106)),2)</f>
        <v>#N/A</v>
      </c>
      <c r="EV107" s="63" t="e">
        <f>+VLOOKUP(DV107,許容応力!$L$6:$V$22,10)*100</f>
        <v>#N/A</v>
      </c>
      <c r="EW107" s="63" t="e">
        <f>ROUNDUP(IF(N108&gt;=N109,N108,N109)*EO107/I106,0)</f>
        <v>#DIV/0!</v>
      </c>
      <c r="EX107" s="63" t="e">
        <f>ROUNDUP(IF(N108&gt;=N109,N108,N109)*EP107/I106,0)</f>
        <v>#DIV/0!</v>
      </c>
      <c r="EY107" s="63" t="e">
        <f>ROUND(EW107*100/AK107,1)</f>
        <v>#DIV/0!</v>
      </c>
      <c r="EZ107" s="63" t="e">
        <f>ROUND(EY107/DQ107,2)</f>
        <v>#DIV/0!</v>
      </c>
      <c r="FA107" s="63" t="e">
        <f>ROUND(EX107*100/AK107,1)</f>
        <v>#DIV/0!</v>
      </c>
      <c r="FB107" s="63" t="e">
        <f>ROUND(FA107/DR107,2)</f>
        <v>#DIV/0!</v>
      </c>
      <c r="FC107" s="63" t="e">
        <f>+VALUE(RIGHT(J104,3))</f>
        <v>#VALUE!</v>
      </c>
      <c r="FD107" s="63">
        <f>IF($DN$6=2,400,200)</f>
        <v>200</v>
      </c>
      <c r="FE107" s="63">
        <f>ROUND(I106*100/FD107,2)</f>
        <v>0</v>
      </c>
      <c r="FF107" s="78">
        <v>200</v>
      </c>
      <c r="FG107" s="63">
        <f>ROUND(I106*100/FF107,2)</f>
        <v>0</v>
      </c>
      <c r="FH107" s="78" t="e">
        <f>ROUND(ET107/FE107,1)</f>
        <v>#N/A</v>
      </c>
      <c r="FI107" s="78" t="e">
        <f>ROUND(EU107/FG107,1)</f>
        <v>#N/A</v>
      </c>
      <c r="FJ107" s="78"/>
      <c r="FK107" s="63" t="e">
        <f>IF(FR107&lt;42,60,VLOOKUP(FR107,$CR$301:$CS$344,2))</f>
        <v>#N/A</v>
      </c>
      <c r="FL107" s="63" t="e">
        <f>VLOOKUP(FS107,$CT$301:$CU$344,2)</f>
        <v>#N/A</v>
      </c>
      <c r="FN107" s="63" t="e">
        <f>IF(FU107&lt;42,60,VLOOKUP(FU107,$CR$301:$CS$344,2))</f>
        <v>#DIV/0!</v>
      </c>
      <c r="FO107" s="63" t="e">
        <f>VLOOKUP(FV107,$CT$301:$CU$344,2)</f>
        <v>#VALUE!</v>
      </c>
      <c r="FP107" s="155" t="e">
        <f>+MAX(FK107:FO107)</f>
        <v>#N/A</v>
      </c>
      <c r="FQ107" s="2"/>
      <c r="FR107" s="87" t="e">
        <f>ABS(ROUNDUP(($DC107*$I106*100*POWER($CW106,2)-2*($GD105+$EO104*$I104*100*$CW106))/2/($I106*100)/$DM107,1))</f>
        <v>#N/A</v>
      </c>
      <c r="FS107" s="87" t="e">
        <f>ABS(ROUNDUP((5*$DC107*POWER($I106*100,4)-$DC107*POWER($I104*100,2)-24.6528*($GD104+IF(J104=0,0,IF(VALUE(RIGHT($J104,4))=1,$EO105*$I104*100*POWER($I106*100,2),0))))/(384*VLOOKUP(VALUE(RIGHT($O104,4)),許容応力!$B$6:$K$22,10)*100*$DT107),2))</f>
        <v>#N/A</v>
      </c>
      <c r="FT107" s="87"/>
      <c r="FU107" s="87" t="e">
        <f>ABS(ROUNDUP(($DD107*$I106*100*POWER($CW106,2)-2*($GD104+IF(J104=0,0,IF(VALUE(RIGHT($J104,4))=1,$EP104*$I104*100*$CW106,0))))/2/($I106*100)/$DN107,1))</f>
        <v>#DIV/0!</v>
      </c>
      <c r="FV107" s="87" t="e">
        <f>ABS(ROUNDUP((5*$DD107*POWER($I106*100,4)-$DD107*POWER($I104*100,2)-24.6528*($GD104+$EP105*$I104*100*POWER($I106*100,2)))/(384*VLOOKUP(VALUE(RIGHT($O104,4)),許容応力!$B$6:$K$22,10)*100*$DZ107),2))</f>
        <v>#VALUE!</v>
      </c>
      <c r="FW107" s="2"/>
      <c r="FX107" s="2"/>
    </row>
    <row r="108" spans="2:186" ht="15.95" customHeight="1" x14ac:dyDescent="0.15">
      <c r="B108" s="1514"/>
      <c r="C108" s="1368"/>
      <c r="D108" s="298"/>
      <c r="E108" s="176"/>
      <c r="F108" s="313"/>
      <c r="G108" s="1382" t="s">
        <v>714</v>
      </c>
      <c r="H108" s="1594" t="s">
        <v>733</v>
      </c>
      <c r="I108" s="233" t="s">
        <v>845</v>
      </c>
      <c r="J108" s="1145"/>
      <c r="K108" s="1594" t="s">
        <v>719</v>
      </c>
      <c r="L108" s="1606"/>
      <c r="M108" s="311" t="s">
        <v>254</v>
      </c>
      <c r="N108" s="312"/>
      <c r="O108" s="302"/>
      <c r="P108" s="302"/>
      <c r="Q108" s="302"/>
      <c r="R108" s="302"/>
      <c r="S108" s="302"/>
      <c r="T108" s="302"/>
      <c r="U108" s="302"/>
      <c r="V108" s="302"/>
      <c r="W108" s="302"/>
      <c r="X108" s="302"/>
      <c r="Y108" s="302"/>
      <c r="Z108" s="302"/>
      <c r="AA108" s="302"/>
      <c r="AB108" s="302"/>
      <c r="AC108" s="302"/>
      <c r="AD108" s="302"/>
      <c r="AE108" s="302"/>
      <c r="AF108" s="176"/>
      <c r="AG108" s="302"/>
      <c r="AH108" s="302"/>
      <c r="AI108" s="302"/>
      <c r="AJ108" s="302"/>
      <c r="AK108" s="302"/>
      <c r="AL108" s="302"/>
      <c r="AM108" s="181"/>
      <c r="AN108" s="662"/>
      <c r="AO108" s="379"/>
      <c r="CP108" s="9"/>
      <c r="CQ108" s="9"/>
      <c r="CR108" s="23"/>
      <c r="CS108" s="23"/>
      <c r="CT108" s="9"/>
      <c r="CU108" s="9"/>
      <c r="CV108" s="23"/>
      <c r="CZ108" s="3" t="e">
        <f>+#REF!</f>
        <v>#REF!</v>
      </c>
      <c r="DA108" s="3" t="e">
        <f>+#REF!</f>
        <v>#REF!</v>
      </c>
      <c r="DB108" s="3" t="e">
        <f>+#REF!</f>
        <v>#REF!</v>
      </c>
      <c r="DC108" s="3" t="e">
        <f>+#REF!</f>
        <v>#REF!</v>
      </c>
      <c r="DD108" s="3" t="e">
        <f>+#REF!</f>
        <v>#REF!</v>
      </c>
      <c r="DE108" s="3" t="e">
        <f>+#REF!</f>
        <v>#REF!</v>
      </c>
      <c r="DF108" s="3" t="e">
        <f>+#REF!</f>
        <v>#REF!</v>
      </c>
      <c r="DG108" s="3" t="e">
        <f>+#REF!</f>
        <v>#REF!</v>
      </c>
      <c r="DH108" s="3" t="e">
        <f>+#REF!</f>
        <v>#REF!</v>
      </c>
      <c r="DI108" s="3" t="e">
        <f>+#REF!</f>
        <v>#REF!</v>
      </c>
      <c r="DJ108" s="3" t="e">
        <f>+#REF!</f>
        <v>#REF!</v>
      </c>
      <c r="DK108" s="3" t="e">
        <f>+#REF!</f>
        <v>#REF!</v>
      </c>
      <c r="DL108" s="3" t="e">
        <f>+#REF!</f>
        <v>#REF!</v>
      </c>
      <c r="DM108" s="3" t="e">
        <f>+#REF!</f>
        <v>#REF!</v>
      </c>
      <c r="DN108" s="3" t="e">
        <f>+#REF!</f>
        <v>#REF!</v>
      </c>
      <c r="DO108" s="3" t="e">
        <f>+#REF!</f>
        <v>#REF!</v>
      </c>
      <c r="DP108" s="3" t="e">
        <f>+#REF!</f>
        <v>#REF!</v>
      </c>
      <c r="DQ108" s="3" t="e">
        <f>+#REF!</f>
        <v>#REF!</v>
      </c>
      <c r="DR108" s="3" t="e">
        <f>+#REF!</f>
        <v>#REF!</v>
      </c>
      <c r="DS108" s="3" t="e">
        <f>+#REF!</f>
        <v>#REF!</v>
      </c>
      <c r="DT108" s="3" t="e">
        <f>+#REF!</f>
        <v>#REF!</v>
      </c>
      <c r="DU108" s="3" t="e">
        <f>+#REF!</f>
        <v>#REF!</v>
      </c>
      <c r="DV108" s="3" t="e">
        <f>+#REF!</f>
        <v>#REF!</v>
      </c>
      <c r="DW108" s="3" t="e">
        <f>+#REF!</f>
        <v>#REF!</v>
      </c>
      <c r="DX108" s="3" t="e">
        <f>+#REF!</f>
        <v>#REF!</v>
      </c>
      <c r="DY108" s="3" t="e">
        <f>+#REF!</f>
        <v>#REF!</v>
      </c>
      <c r="DZ108" s="3" t="e">
        <f>+#REF!</f>
        <v>#REF!</v>
      </c>
      <c r="EA108" s="3" t="e">
        <f>+#REF!</f>
        <v>#REF!</v>
      </c>
      <c r="EB108" s="3" t="e">
        <f>+#REF!</f>
        <v>#REF!</v>
      </c>
      <c r="EC108" s="3" t="e">
        <f>+#REF!</f>
        <v>#REF!</v>
      </c>
      <c r="ED108" s="3" t="e">
        <f>+#REF!</f>
        <v>#REF!</v>
      </c>
      <c r="EE108" s="3" t="e">
        <f>+#REF!</f>
        <v>#REF!</v>
      </c>
      <c r="EF108" s="3" t="e">
        <f>+#REF!</f>
        <v>#REF!</v>
      </c>
      <c r="EG108" s="3" t="e">
        <f>+#REF!</f>
        <v>#REF!</v>
      </c>
      <c r="EH108" s="3" t="e">
        <f>+#REF!</f>
        <v>#REF!</v>
      </c>
      <c r="EI108" s="3" t="e">
        <f>+#REF!</f>
        <v>#REF!</v>
      </c>
      <c r="EJ108" s="3" t="e">
        <f>+#REF!</f>
        <v>#REF!</v>
      </c>
      <c r="EK108" s="3" t="e">
        <f>+#REF!</f>
        <v>#REF!</v>
      </c>
      <c r="EL108" s="3" t="e">
        <f>+#REF!</f>
        <v>#REF!</v>
      </c>
      <c r="EM108" s="3" t="e">
        <f>+#REF!</f>
        <v>#REF!</v>
      </c>
      <c r="EN108" s="3" t="e">
        <f>+#REF!</f>
        <v>#REF!</v>
      </c>
      <c r="EO108" s="3" t="e">
        <f>+#REF!</f>
        <v>#REF!</v>
      </c>
      <c r="EP108" s="3" t="e">
        <f>+#REF!</f>
        <v>#REF!</v>
      </c>
      <c r="EQ108" s="3" t="e">
        <f>+#REF!</f>
        <v>#REF!</v>
      </c>
      <c r="ER108" s="3" t="e">
        <f>+#REF!</f>
        <v>#REF!</v>
      </c>
      <c r="ES108" s="3" t="e">
        <f>+#REF!</f>
        <v>#REF!</v>
      </c>
      <c r="ET108" s="3" t="e">
        <f>+#REF!</f>
        <v>#REF!</v>
      </c>
      <c r="EU108" s="3" t="e">
        <f>+#REF!</f>
        <v>#REF!</v>
      </c>
      <c r="EV108" s="3" t="e">
        <f>+#REF!</f>
        <v>#REF!</v>
      </c>
      <c r="EW108" s="3" t="e">
        <f>+#REF!</f>
        <v>#REF!</v>
      </c>
      <c r="EX108" s="3" t="e">
        <f>+#REF!</f>
        <v>#REF!</v>
      </c>
      <c r="EY108" s="3" t="e">
        <f>+#REF!</f>
        <v>#REF!</v>
      </c>
      <c r="EZ108" s="3" t="e">
        <f>+#REF!</f>
        <v>#REF!</v>
      </c>
      <c r="FA108" s="3" t="e">
        <f>+#REF!</f>
        <v>#REF!</v>
      </c>
      <c r="FB108" s="3" t="e">
        <f>+#REF!</f>
        <v>#REF!</v>
      </c>
      <c r="FC108" s="3" t="e">
        <f>+#REF!</f>
        <v>#REF!</v>
      </c>
      <c r="FD108" s="3" t="e">
        <f>+#REF!</f>
        <v>#REF!</v>
      </c>
      <c r="FE108" s="3" t="e">
        <f>+#REF!</f>
        <v>#REF!</v>
      </c>
      <c r="FF108" s="3" t="e">
        <f>+#REF!</f>
        <v>#REF!</v>
      </c>
      <c r="FG108" s="3" t="e">
        <f>+#REF!</f>
        <v>#REF!</v>
      </c>
      <c r="FH108" s="3" t="e">
        <f>+#REF!</f>
        <v>#REF!</v>
      </c>
      <c r="FI108" s="3" t="e">
        <f>+#REF!</f>
        <v>#REF!</v>
      </c>
    </row>
    <row r="109" spans="2:186" ht="15.95" customHeight="1" thickBot="1" x14ac:dyDescent="0.2">
      <c r="B109" s="1514"/>
      <c r="C109" s="1500"/>
      <c r="D109" s="299"/>
      <c r="E109" s="225"/>
      <c r="F109" s="297"/>
      <c r="G109" s="1176"/>
      <c r="H109" s="1595"/>
      <c r="I109" s="232" t="s">
        <v>846</v>
      </c>
      <c r="J109" s="133"/>
      <c r="K109" s="1595"/>
      <c r="L109" s="1607"/>
      <c r="M109" s="307" t="s">
        <v>255</v>
      </c>
      <c r="N109" s="308"/>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175"/>
      <c r="AN109" s="663"/>
      <c r="AO109" s="175"/>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P109" s="9"/>
      <c r="CQ109" s="9"/>
      <c r="CR109" s="23"/>
      <c r="CS109" s="23"/>
      <c r="CT109" s="9"/>
      <c r="CU109" s="9"/>
      <c r="CV109" s="23"/>
      <c r="CZ109" s="3" t="e">
        <f>+#REF!</f>
        <v>#REF!</v>
      </c>
      <c r="DA109" s="3" t="e">
        <f>+#REF!</f>
        <v>#REF!</v>
      </c>
      <c r="DB109" s="3" t="e">
        <f>+#REF!</f>
        <v>#REF!</v>
      </c>
      <c r="DC109" s="3" t="e">
        <f>+#REF!</f>
        <v>#REF!</v>
      </c>
      <c r="DD109" s="3" t="e">
        <f>+#REF!</f>
        <v>#REF!</v>
      </c>
      <c r="DE109" s="3" t="e">
        <f>+#REF!</f>
        <v>#REF!</v>
      </c>
      <c r="DF109" s="3" t="e">
        <f>+#REF!</f>
        <v>#REF!</v>
      </c>
      <c r="DG109" s="3" t="e">
        <f>+#REF!</f>
        <v>#REF!</v>
      </c>
      <c r="DH109" s="3" t="e">
        <f>+#REF!</f>
        <v>#REF!</v>
      </c>
      <c r="DI109" s="3" t="e">
        <f>+#REF!</f>
        <v>#REF!</v>
      </c>
      <c r="DJ109" s="3" t="e">
        <f>+#REF!</f>
        <v>#REF!</v>
      </c>
      <c r="DK109" s="3" t="e">
        <f>+#REF!</f>
        <v>#REF!</v>
      </c>
      <c r="DL109" s="3" t="e">
        <f>+#REF!</f>
        <v>#REF!</v>
      </c>
      <c r="DM109" s="3" t="e">
        <f>+#REF!</f>
        <v>#REF!</v>
      </c>
      <c r="DN109" s="3" t="e">
        <f>+#REF!</f>
        <v>#REF!</v>
      </c>
      <c r="DO109" s="10" t="e">
        <f>IF($DN$6=2,ROUND(VLOOKUP(DV109,許容応力!$L$6:$U$22,8)*1.1/3*100,0),ROUND(VLOOKUP(DV109,許容応力!$L$6:$U$22,8)*1.1/3*1.3*100,0))</f>
        <v>#REF!</v>
      </c>
      <c r="DP109" s="63" t="e">
        <f>ROUND(VLOOKUP(DV109,許容応力!$L$6:$U$22,8)*100*2/3*0.8,0)</f>
        <v>#REF!</v>
      </c>
      <c r="DQ109" s="10" t="e">
        <f>IF($DN$6=2,ROUND(VLOOKUP(DV109,許容応力!$L$6:$U$22,9)*1.1/3*100,0),ROUND(VLOOKUP(DV109,許容応力!$L$6:$U$22,9)*1.1/3*1.3*100,0))</f>
        <v>#REF!</v>
      </c>
      <c r="DR109" s="63" t="e">
        <f>ROUND(VLOOKUP(DV109,許容応力!$L$6:$U$22,9)*100*2/3*0.8,0)</f>
        <v>#REF!</v>
      </c>
      <c r="DS109" s="3" t="e">
        <f>+#REF!</f>
        <v>#REF!</v>
      </c>
      <c r="DT109" s="3" t="e">
        <f>+#REF!</f>
        <v>#REF!</v>
      </c>
      <c r="DU109" s="3" t="e">
        <f>+#REF!</f>
        <v>#REF!</v>
      </c>
      <c r="DV109" s="3" t="e">
        <f>+#REF!</f>
        <v>#REF!</v>
      </c>
      <c r="DW109" s="3" t="e">
        <f>+#REF!</f>
        <v>#REF!</v>
      </c>
      <c r="DX109" s="3" t="e">
        <f>+#REF!</f>
        <v>#REF!</v>
      </c>
      <c r="DY109" s="3" t="e">
        <f>+#REF!</f>
        <v>#REF!</v>
      </c>
      <c r="DZ109" s="3" t="e">
        <f>+#REF!</f>
        <v>#REF!</v>
      </c>
      <c r="EA109" s="3" t="e">
        <f>+#REF!</f>
        <v>#REF!</v>
      </c>
      <c r="EB109" s="3" t="e">
        <f>+#REF!</f>
        <v>#REF!</v>
      </c>
      <c r="EC109" s="3" t="e">
        <f>+#REF!</f>
        <v>#REF!</v>
      </c>
      <c r="ED109" s="3" t="e">
        <f>+#REF!</f>
        <v>#REF!</v>
      </c>
      <c r="EE109" s="3" t="e">
        <f>+#REF!</f>
        <v>#REF!</v>
      </c>
      <c r="EF109" s="3" t="e">
        <f>+#REF!</f>
        <v>#REF!</v>
      </c>
      <c r="EG109" s="3" t="e">
        <f>+#REF!</f>
        <v>#REF!</v>
      </c>
      <c r="EH109" s="3" t="e">
        <f>+#REF!</f>
        <v>#REF!</v>
      </c>
      <c r="EI109" s="3" t="e">
        <f>+#REF!</f>
        <v>#REF!</v>
      </c>
      <c r="EJ109" s="3" t="e">
        <f>+#REF!</f>
        <v>#REF!</v>
      </c>
      <c r="EK109" s="3" t="e">
        <f>+#REF!</f>
        <v>#REF!</v>
      </c>
      <c r="EL109" s="3" t="e">
        <f>+#REF!</f>
        <v>#REF!</v>
      </c>
      <c r="EM109" s="3" t="e">
        <f>+#REF!</f>
        <v>#REF!</v>
      </c>
      <c r="EN109" s="3" t="e">
        <f>+#REF!</f>
        <v>#REF!</v>
      </c>
      <c r="EO109" s="3" t="e">
        <f>+#REF!</f>
        <v>#REF!</v>
      </c>
      <c r="EP109" s="3" t="e">
        <f>+#REF!</f>
        <v>#REF!</v>
      </c>
      <c r="EQ109" s="3" t="e">
        <f>+#REF!</f>
        <v>#REF!</v>
      </c>
      <c r="ER109" s="3" t="e">
        <f>+#REF!</f>
        <v>#REF!</v>
      </c>
      <c r="ES109" s="3" t="e">
        <f>+#REF!</f>
        <v>#REF!</v>
      </c>
      <c r="ET109" s="3" t="e">
        <f>+#REF!</f>
        <v>#REF!</v>
      </c>
      <c r="EU109" s="3" t="e">
        <f>+#REF!</f>
        <v>#REF!</v>
      </c>
      <c r="EV109" s="63" t="e">
        <f>+VLOOKUP(DV109,許容応力!$L$6:$V$22,10)*100</f>
        <v>#REF!</v>
      </c>
      <c r="EW109" s="3" t="e">
        <f>+#REF!</f>
        <v>#REF!</v>
      </c>
      <c r="EX109" s="3" t="e">
        <f>+#REF!</f>
        <v>#REF!</v>
      </c>
      <c r="EY109" s="3" t="e">
        <f>+#REF!</f>
        <v>#REF!</v>
      </c>
      <c r="EZ109" s="3" t="e">
        <f>+#REF!</f>
        <v>#REF!</v>
      </c>
      <c r="FA109" s="3" t="e">
        <f>+#REF!</f>
        <v>#REF!</v>
      </c>
      <c r="FB109" s="3" t="e">
        <f>+#REF!</f>
        <v>#REF!</v>
      </c>
      <c r="FC109" s="3" t="e">
        <f>+#REF!</f>
        <v>#REF!</v>
      </c>
      <c r="FD109" s="3" t="e">
        <f>+#REF!</f>
        <v>#REF!</v>
      </c>
      <c r="FE109" s="3" t="e">
        <f>+#REF!</f>
        <v>#REF!</v>
      </c>
      <c r="FF109" s="3" t="e">
        <f>+#REF!</f>
        <v>#REF!</v>
      </c>
      <c r="FG109" s="3" t="e">
        <f>+#REF!</f>
        <v>#REF!</v>
      </c>
      <c r="FH109" s="3" t="e">
        <f>+#REF!</f>
        <v>#REF!</v>
      </c>
      <c r="FI109" s="3" t="e">
        <f>+#REF!</f>
        <v>#REF!</v>
      </c>
    </row>
    <row r="110" spans="2:186" ht="15.95" customHeight="1" thickBot="1" x14ac:dyDescent="0.2">
      <c r="B110" s="1514"/>
      <c r="C110" s="1498" t="s">
        <v>848</v>
      </c>
      <c r="D110" s="1501" t="s">
        <v>714</v>
      </c>
      <c r="E110" s="296"/>
      <c r="F110" s="572" t="str">
        <f>IF(E110=0,"",ROUND(SQRT(COS(DW110*1.5*PI()/180)),3))</f>
        <v/>
      </c>
      <c r="G110" s="1358"/>
      <c r="H110" s="1358"/>
      <c r="I110" s="1358"/>
      <c r="J110" s="1608"/>
      <c r="K110" s="131"/>
      <c r="L110" s="132"/>
      <c r="M110" s="314" t="s">
        <v>259</v>
      </c>
      <c r="N110" s="1146"/>
      <c r="O110" s="1569"/>
      <c r="P110" s="1125"/>
      <c r="Q110" s="197">
        <f>+IF(P110=0,0,"×")</f>
        <v>0</v>
      </c>
      <c r="R110" s="245">
        <f>IF(P110=0,0,+FP110)</f>
        <v>0</v>
      </c>
      <c r="S110" s="1123"/>
      <c r="T110" s="246" t="str">
        <f>IF(AA110=+"","",IF(AND(AA110&lt;=1,AB110&lt;=1,AD110&lt;=1,AE110&lt;=1),"OK!","NO!"))</f>
        <v/>
      </c>
      <c r="U110" s="246">
        <f>IF(W110=0,0,IF(IF(AC110&gt;=AF110,AC110,AF110)&lt;=1,"OK!","NO!"))</f>
        <v>0</v>
      </c>
      <c r="V110" s="826"/>
      <c r="W110" s="161"/>
      <c r="X110" s="202">
        <f>IF(W110=0,0,+CT110)</f>
        <v>0</v>
      </c>
      <c r="Y110" s="202">
        <f>IF(X110=0,0,ROUND(POWER(W110*X110,2)/(P110/10*IF(V110=0,R110/10,V110/10)),2))</f>
        <v>0</v>
      </c>
      <c r="Z110" s="203" t="str">
        <f>IF(EM110&gt;=EN110,EM110,EN110)</f>
        <v/>
      </c>
      <c r="AA110" s="203" t="str">
        <f>IF(R110=0,"",ROUNDUP(DE110/DM110,2))</f>
        <v/>
      </c>
      <c r="AB110" s="203" t="str">
        <f>IF(R110=0,"",ROUND(DF110/DT110,2))</f>
        <v/>
      </c>
      <c r="AC110" s="203" t="str">
        <f>IF(W110=0,"",ROUND(DG110/DO110,2))</f>
        <v/>
      </c>
      <c r="AD110" s="203" t="str">
        <f>IF(R110=0,"",ROUNDUP(DH110/DN110,2))</f>
        <v/>
      </c>
      <c r="AE110" s="203" t="str">
        <f>IF(R110=0,"",ROUNDUP(DI110/DZ110,2))</f>
        <v/>
      </c>
      <c r="AF110" s="203" t="str">
        <f>IF(W110=0,"",ROUNDUP(DJ110/DP110,2))</f>
        <v/>
      </c>
      <c r="AG110" s="315"/>
      <c r="AH110" s="316"/>
      <c r="AI110" s="315"/>
      <c r="AJ110" s="315"/>
      <c r="AK110" s="202">
        <f>IF(AH110=0,0,ROUND(AG110*AH110+AI110*AJ110,2))</f>
        <v>0</v>
      </c>
      <c r="AL110" s="202" t="str">
        <f>IF(AH110=0,"",IF(EH110&gt;=EJ110,EH110+EZ110,EJ110+FB110))</f>
        <v/>
      </c>
      <c r="AM110" s="250" t="str">
        <f>IF(AL110=+"","",IF(AL110&lt;=1,"OK!","NO!"))</f>
        <v/>
      </c>
      <c r="AN110" s="182">
        <f>+IF(I110=0,0,"1/")</f>
        <v>0</v>
      </c>
      <c r="AO110" s="293">
        <f>IF(I110=0,0,+DS110)</f>
        <v>0</v>
      </c>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9" t="e">
        <f>ROUNDUP((DC110*I110*100/2*3/2/DQ110)+GD110/DQ110+IF(J110=0,0,IF(VALUE(RIGHT(J110,4))=1,EO110/DQ110,0)),2)</f>
        <v>#VALUE!</v>
      </c>
      <c r="CQ110" s="9" t="e">
        <f>ROUNDUP((DD110*I110*100/2*3/2/DR110)+GD110/DR110+IF(J110=0,0,IF(VALUE(RIGHT(J110,4))=1,EP110/DR110,0)),2)</f>
        <v>#VALUE!</v>
      </c>
      <c r="CR110" s="23" t="e">
        <f>IF(CP110&gt;=CQ110,CP110,CQ110)</f>
        <v>#VALUE!</v>
      </c>
      <c r="CS110" s="23" t="e">
        <f>IF(CP110&gt;=CQ110,CP110,CQ110)</f>
        <v>#VALUE!</v>
      </c>
      <c r="CT110" s="9">
        <f>IF(R110=0,0,ROUNDUP(SQRT((Z110*P110/10*IF(V110=0,R110/10,V110/10))/(W110*W110)),2))</f>
        <v>0</v>
      </c>
      <c r="CU110" s="9"/>
      <c r="CV110" s="23"/>
      <c r="CW110" s="23" t="s">
        <v>717</v>
      </c>
      <c r="CX110" s="3" t="e">
        <f>VLOOKUP(VALUE(RIGHT(O110,4)),許容応力!$B$6:$K$22,10)</f>
        <v>#VALUE!</v>
      </c>
      <c r="CY110" s="63"/>
      <c r="CZ110" s="87">
        <f>ROUNDUP(IF(VALUE(RIGHT($G$3,3))=1,DA110*0.7,0),0)</f>
        <v>0</v>
      </c>
      <c r="DA110" s="87" t="e">
        <f>ROUNDUP(IF(VALUE(RIGHT($G$3,4))=1,$I$3*30*F110*100,$I$3*20*F110*100),0)</f>
        <v>#VALUE!</v>
      </c>
      <c r="DB110" s="87"/>
      <c r="DC110" s="87" t="e">
        <f>ROUNDUP(IF(VALUE(RIGHT($F111,4))=1,(準備!$G$60/100+準備!$D$48/100),(準備!$G$15/100+準備!$D$48/100+IF(N111=0,CZ110/100,0)))*($G110+$H110)/2,2)+IF($N111=0,0,$EQ110)</f>
        <v>#VALUE!</v>
      </c>
      <c r="DD110" s="87" t="e">
        <f>ROUNDUP(IF(VALUE(RIGHT($F111,4))=1,(準備!$G$60/100+6),(準備!$G$15/100+6+$DA110/100))*($G110+$H110)/2,2)+IF($N111=0,0,EQ110)</f>
        <v>#VALUE!</v>
      </c>
      <c r="DE110" s="87" t="e">
        <f>ROUNDUP($I110*100*($DC110*$I110*100+2*($GD110+IF(J110=0,0,IF(VALUE(RIGHT($J110,4))=1,$EO110,0))))/2/$DK110,1)</f>
        <v>#VALUE!</v>
      </c>
      <c r="DF110" s="87" t="e">
        <f>ABS(ROUNDUP((3*$DC110*POWER($I110*100,4)+$DC110*$I110*100*$I112*100*(4*POWER($I110*100,2)-POWER($I112*100,2))+8*($GD110+IF(J110=0,0,IF(VALUE(RIGHT($J110,4))=1,$EO110*POWER($I110*100,2)*($I110*100+$I112*100),0))))/(24*$CX110*$DL110*100),2))</f>
        <v>#VALUE!</v>
      </c>
      <c r="DG110" s="87" t="e">
        <f>ROUND(($DC110*$I110*100+(GD110+IF(J110=0,0,IF(VALUE(RIGHT($J110,4))=1,$EO110,0))))/($Y110*3*2),1)</f>
        <v>#VALUE!</v>
      </c>
      <c r="DH110" s="87" t="e">
        <f>ROUNDUP($I110*100*($DD110*$I110*100+2*($GD110+IF(J110=0,0,IF(VALUE(RIGHT($J110,4))=1,$EP110,0))))/2/$DK110,1)</f>
        <v>#VALUE!</v>
      </c>
      <c r="DI110" s="87" t="e">
        <f>ABS(ROUNDUP((3*$DD110*POWER($I110*100,4)+$DD110*$I110*100*$I112*100*(4*POWER($I110*100,2)-POWER($I112*100,2))+8*($GD110+IF(J110=0,0,IF(VALUE(RIGHT($J110,4))=1,$EP110*POWER($I110*100,2)*($I110*100+$I112*100),0))))/(24*$CX110*$DL110*100),2))</f>
        <v>#VALUE!</v>
      </c>
      <c r="DJ110" s="87" t="e">
        <f>ROUND(($DD110*$I110*100+GD110+IF(J110=0,0,IF(VALUE(RIGHT($J110,4))=1,$EP110,0)))/($Y110*3*2),1)</f>
        <v>#VALUE!</v>
      </c>
      <c r="DK110" s="87">
        <f>ROUNDDOWN($P110/10*POWER($R110/10,2)/6*IF(OR($S110=0,$S110=1),1,$S110),0)</f>
        <v>0</v>
      </c>
      <c r="DL110" s="87">
        <f>ROUNDDOWN($P110/10*POWER($R110/10,3)/12*IF(OR($S110=0,$S$98=1),1,$S110),0)</f>
        <v>0</v>
      </c>
      <c r="DM110" s="88" t="e">
        <f>IF($DN$6=2,ROUND(VLOOKUP(DV110,許容応力!$B$6:$K$22,7)*1.1/3*100,0),ROUND(VLOOKUP(DV110,許容応力!$B$6:$K$22,7)*1.1/3*1.3*100,0))</f>
        <v>#VALUE!</v>
      </c>
      <c r="DN110" s="87" t="e">
        <f>ROUND(VLOOKUP(DV110,許容応力!$B$6:$K$22,7)*100*2/3*0.8,0)</f>
        <v>#VALUE!</v>
      </c>
      <c r="DO110" s="88" t="e">
        <f>IF($DN$6=2,ROUND(VLOOKUP(DV110,許容応力!$B$6:$K$22,8)*1.1/3*100,0),ROUND(VLOOKUP(DV110,許容応力!$B$6:$K$22,8)*1.1/3*1.3*100,0))</f>
        <v>#VALUE!</v>
      </c>
      <c r="DP110" s="87" t="e">
        <f>ROUND(VLOOKUP(DV110,許容応力!$B$6:$K$22,8)*100*2/3*0.8,0)</f>
        <v>#VALUE!</v>
      </c>
      <c r="DQ110" s="88" t="e">
        <f>IF($DN$6=2,ROUND(VLOOKUP(DV110,許容応力!$B$6:$K$22,9)*1.1/3*100,0),ROUND(VLOOKUP(DV110,許容応力!$B$6:$K$22,9)*1.1/3*100*1.3,0))</f>
        <v>#VALUE!</v>
      </c>
      <c r="DR110" s="87" t="e">
        <f>ROUND(VLOOKUP(DV110,許容応力!$B$6:$K$22,9)*100*2/3*0.8,0)</f>
        <v>#VALUE!</v>
      </c>
      <c r="DS110" s="87">
        <v>600</v>
      </c>
      <c r="DT110" s="87">
        <f>ROUND(I110*100/DS110,2)</f>
        <v>0</v>
      </c>
      <c r="DU110" s="87"/>
      <c r="DV110" s="87" t="e">
        <f>+VALUE(RIGHT(O110,3))</f>
        <v>#VALUE!</v>
      </c>
      <c r="DW110" s="89">
        <f>ROUND(ATAN(E110/10)*180/PI(),4)</f>
        <v>0</v>
      </c>
      <c r="DX110" s="90">
        <f>ROUND(COS(DW110*PI()/180),3)</f>
        <v>1</v>
      </c>
      <c r="DY110" s="87">
        <v>225</v>
      </c>
      <c r="DZ110" s="87">
        <f>ROUND(I110*100/DY110,2)</f>
        <v>0</v>
      </c>
      <c r="EA110" s="87"/>
      <c r="EB110" s="87" t="e">
        <f>ROUNDUP((準備!$G$60/100+準備!$E$48/100)*($G110+$H110)/2,2)+IF(J110=0,0,IF(VALUE(RIGHT($J110,4))=1,$EQ110,0))</f>
        <v>#N/A</v>
      </c>
      <c r="EC110" s="87"/>
      <c r="ED110" s="87"/>
      <c r="EE110" s="87"/>
      <c r="EF110" s="87"/>
      <c r="EG110" s="87" t="e">
        <f>ROUND(DC110*I110*100/2/AK110,1)</f>
        <v>#VALUE!</v>
      </c>
      <c r="EH110" s="87" t="e">
        <f>ROUND(EG110/DQ110,2)</f>
        <v>#VALUE!</v>
      </c>
      <c r="EI110" s="87" t="e">
        <f>ROUND(DD110*I110*100/2/AK110,1)</f>
        <v>#VALUE!</v>
      </c>
      <c r="EJ110" s="87" t="e">
        <f>ROUND(EI110/DR110,2)</f>
        <v>#VALUE!</v>
      </c>
      <c r="EK110" s="63" t="e">
        <f>IF(ES110=2,0,ROUNDUP(IF(F110&gt;=F111,F110,F111)*EC110/#REF!,2))</f>
        <v>#VALUE!</v>
      </c>
      <c r="EL110" s="63" t="e">
        <f>IF(ES110=2,0,ROUNDUP(IF(F110&gt;=F111,F110,F111)*ED110/#REF!,2))</f>
        <v>#VALUE!</v>
      </c>
      <c r="EM110" s="87" t="str">
        <f>IF(E110=0,"",ROUND(DC110*I110*100/2/DO110,1))</f>
        <v/>
      </c>
      <c r="EN110" s="87" t="str">
        <f>IF(E110=0,"",ROUND(DD110*I110*100/2/DP110,1))</f>
        <v/>
      </c>
      <c r="EO110" s="87">
        <f>IF($L110=0,0,ROUNDUP((準備!$G$57/$DX110+IF(AND(VALUE(RIGHT($G$3,4))=1,$T$3=2),$CZ110/$DX110*1.2,$CZ110/$DX110))*($K110+$K111)/2*($L110+$L111)/2,0))</f>
        <v>0</v>
      </c>
      <c r="EP110" s="87">
        <f>IF(L110=0,0,ROUNDUP((準備!$G$57/DX110+IF(AND(VALUE(RIGHT($G$3,4))=1,$T$3=2),DA110/DX110*1.2,DA110/DX110))*(K110+K111)/2*(L110+L111)/2,0))</f>
        <v>0</v>
      </c>
      <c r="EQ110" s="63">
        <f>IF($N111=0,0,ROUND(VLOOKUP(VALUE(RIGHT($N110,4)),$M$600:$O$605,3)/10000*N111*100,2))</f>
        <v>0</v>
      </c>
      <c r="ER110" s="63">
        <f>IF(J110=0,0,IF(VALUE(RIGHT(J110,4))=2,0,ROUNDUP(J114*100*J115*100/(I110*100)*EO110/DK110,1)))</f>
        <v>0</v>
      </c>
      <c r="ES110" s="63">
        <f>IF(FC110=2,0,ROUNDUP(J114*J115/I110*100*EP110/DK110,1))</f>
        <v>0</v>
      </c>
      <c r="ET110" s="63">
        <f>IF(FC110=2,0,IF(FC110=0,0,ROUNDUP(EO110*IF(J114&gt;=J115,J114,J115)*SQRT(POWER(ABS(POWER(J114,2)-POWER(J115,2)),3)/(9*SQRT(3)*EV110*DL110*I110)),2)))</f>
        <v>0</v>
      </c>
      <c r="EU110" s="63">
        <f>IF(FC110=2,0,ROUNDUP(EP110*IF(J114&gt;=J115,J114,J115)*SQRT(POWER(ABS(POWER(J114,2)-POWER(J115,2)),3)/(9*SQRT(3)*EV110*DL110*I110)),2))</f>
        <v>0</v>
      </c>
      <c r="EV110" s="63" t="e">
        <f>+VLOOKUP(DV110,許容応力!$B$6:$K$22,10)*100</f>
        <v>#VALUE!</v>
      </c>
      <c r="EW110" s="63">
        <f>+$GD110+IF(J110=0,0,IF(VALUE(RIGHT($J110,4))=1,$EO110,0))</f>
        <v>0</v>
      </c>
      <c r="EX110" s="63">
        <f>+$GD$98+IF(J110=0,0,IF(VALUE(RIGHT($J110,4))=1,$EP110,0))</f>
        <v>0</v>
      </c>
      <c r="EY110" s="63" t="e">
        <f>ROUND(EW110/AK110,1)</f>
        <v>#DIV/0!</v>
      </c>
      <c r="EZ110" s="63" t="e">
        <f>ROUND(EY110/DQ110,2)</f>
        <v>#DIV/0!</v>
      </c>
      <c r="FA110" s="63" t="e">
        <f>ROUND(EX110/AK110,1)</f>
        <v>#DIV/0!</v>
      </c>
      <c r="FB110" s="63" t="e">
        <f>ROUND(FA110/DR110,2)</f>
        <v>#DIV/0!</v>
      </c>
      <c r="FC110" s="63">
        <f>IF(J110=0,2,+VALUE(RIGHT(J110,3)))</f>
        <v>2</v>
      </c>
      <c r="FD110" s="63">
        <f>IF($DN$6=2,400,200)</f>
        <v>200</v>
      </c>
      <c r="FE110" s="63">
        <f>ROUND(I110*100/FD110,2)</f>
        <v>0</v>
      </c>
      <c r="FF110" s="63">
        <v>200</v>
      </c>
      <c r="FG110" s="63">
        <f>ROUND(I110*100/FF110,2)</f>
        <v>0</v>
      </c>
      <c r="FH110" s="78" t="e">
        <f>ROUND(ET110/FE110,1)</f>
        <v>#DIV/0!</v>
      </c>
      <c r="FI110" s="78" t="e">
        <f>ROUND(EU110/FG110,1)</f>
        <v>#DIV/0!</v>
      </c>
      <c r="FJ110" s="78"/>
      <c r="FK110" s="63" t="e">
        <f>IF(FR110&lt;21,21,IF(AND(FR110&gt;21,FR110&lt;=24),24,IF(AND(FR110&gt;30,FR110&lt;=40),40,IF(AND(FR110&gt;40,FR110&lt;=45),45,IF(AND(FR110&gt;60,FR110&lt;=75),75,IF(AND(FR110&gt;90,FR110&lt;=105),105,IF(AND(FR110&gt;120,FR110&lt;=135),135,ROUNDUP(FR110/3,-1)*3)))))))</f>
        <v>#VALUE!</v>
      </c>
      <c r="FL110" s="63" t="e">
        <f>IF(FS110&lt;21,21,IF(AND(FS110&gt;21,FS110&lt;=24),24,IF(AND(FS110&gt;30,FS110&lt;=40),40,IF(AND(FS110&gt;40,FS110&lt;=45),45,IF(AND(FS110&gt;60,FS110&lt;=75),75,IF(AND(FS110&gt;90,FS110&lt;=105),105,IF(AND(FS110&gt;120,FS110&lt;=135),135,ROUNDUP(FS110/3,-1)*3)))))))</f>
        <v>#VALUE!</v>
      </c>
      <c r="FN110" s="63" t="e">
        <f>IF(FU110&lt;21,21,IF(AND(FU110&gt;21,FU110&lt;=24),24,IF(AND(FU110&gt;30,FU110&lt;=40),40,IF(AND(FU110&gt;40,FU110&lt;=45),45,IF(AND(FU110&gt;60,FU110&lt;=75),75,IF(AND(FU110&gt;90,FU110&lt;=105),105,IF(AND(FU110&gt;120,FU110&lt;=135),135,ROUNDUP(FU110/3,-1)*3)))))))</f>
        <v>#VALUE!</v>
      </c>
      <c r="FO110" s="63" t="e">
        <f>IF(FV110&lt;21,21,IF(AND(FV110&gt;21,FV110&lt;=24),24,IF(AND(FV110&gt;30,FV110&lt;=40),40,IF(AND(FV110&gt;40,FV110&lt;=45),45,IF(AND(FV110&gt;60,FV110&lt;=75),75,IF(AND(FV110&gt;90,FV110&lt;=105),105,IF(AND(FV110&gt;120,FV110&lt;=135),135,ROUNDUP(FV110/3,-1)*3)))))))</f>
        <v>#VALUE!</v>
      </c>
      <c r="FP110" s="155" t="e">
        <f>+MAX(FK110:FO110)</f>
        <v>#VALUE!</v>
      </c>
      <c r="FQ110" s="2"/>
      <c r="FR110" s="87" t="e">
        <f>ROUND(SQRT(FX110/($P112/10)*6/IF(OR($S112=0,$S112=1),1,$S112))*10,0)</f>
        <v>#VALUE!</v>
      </c>
      <c r="FS110" s="87" t="e">
        <f>POWER(ROUND(FY110/($P112/10)*12/IF(OR($S112=0,$S112=1),1,$S112),0),1/3)*10</f>
        <v>#VALUE!</v>
      </c>
      <c r="FU110" s="87" t="e">
        <f>ROUND(SQRT(GA110/($P112/10)*6/IF(OR($S112=0,$S112=1),1,$S112))*10,0)</f>
        <v>#VALUE!</v>
      </c>
      <c r="FV110" s="87" t="e">
        <f>POWER(ROUND(GB110/($P112/10)*12/IF(OR($S112=0,$S112=1),1,$S112),0),1/3)*10</f>
        <v>#VALUE!</v>
      </c>
      <c r="FW110" s="2"/>
      <c r="FX110" s="87" t="e">
        <f>ROUNDUP($I110*100*($DC110*$I110*100+2*($GD110+IF(J110=0,0,IF(VALUE(RIGHT($J110,4))=1,$EO110,0))))/2/$DM110,1)</f>
        <v>#VALUE!</v>
      </c>
      <c r="FY110" s="87" t="e">
        <f>ABS(ROUNDUP((3*$DC110*POWER($I110*100,4)+$DC110*$I110*100*$I112*100*(4*POWER($I110*100,2)-POWER($I112*100,2))+8*($GD110+IF(J110=0,0,IF(VALUE(RIGHT($J110,4))=1,$EO110*POWER($I110*100,2)*($I110*100+$I112*100),0))))/(24*$CX110*$DT110*100),2))</f>
        <v>#VALUE!</v>
      </c>
      <c r="FZ110" s="87"/>
      <c r="GA110" s="87" t="e">
        <f>ROUNDUP($I110*100*($DD110*$I110*100+2*($GD110+IF(J110=0,0,IF(VALUE(RIGHT($J110,4))=1,$EP110,0))))/2/$DN110,1)</f>
        <v>#VALUE!</v>
      </c>
      <c r="GB110" s="87" t="e">
        <f>ABS(ROUNDUP((3*$DD110*POWER($I110*100,4)+$DD110*$I110*100*$I112*100*(4*POWER($I110*100,2)-POWER($I112*100,2))+8*($GD110+IF(J110=0,0,IF(VALUE(RIGHT($J110,4))=1,$EP110*POWER($I110*100,2)*($I110*100+$I112*100),0))))/(24*$CX110*$DZ110*100),2))</f>
        <v>#VALUE!</v>
      </c>
      <c r="GD110" s="63">
        <f>IF($J115=0,0,VLOOKUP(VALUE(RIGHT($J$102,4)),$M$600:$O$605,3)/10000*(N114+N115)/2*100*J115*100)</f>
        <v>0</v>
      </c>
    </row>
    <row r="111" spans="2:186" ht="15.95" customHeight="1" x14ac:dyDescent="0.15">
      <c r="B111" s="1514"/>
      <c r="C111" s="1499"/>
      <c r="D111" s="1502"/>
      <c r="E111" s="583" t="s">
        <v>716</v>
      </c>
      <c r="F111" s="1131"/>
      <c r="G111" s="1359"/>
      <c r="H111" s="1359"/>
      <c r="I111" s="1359"/>
      <c r="J111" s="1609"/>
      <c r="K111" s="212"/>
      <c r="L111" s="213"/>
      <c r="M111" s="310" t="s">
        <v>263</v>
      </c>
      <c r="N111" s="301"/>
      <c r="O111" s="1575"/>
      <c r="P111" s="1193">
        <f>+IF(O110=0,0,"丸太末口 φ")</f>
        <v>0</v>
      </c>
      <c r="Q111" s="1194"/>
      <c r="R111" s="239">
        <f>IF(O110=0,0,+FP111)</f>
        <v>0</v>
      </c>
      <c r="S111" s="1120"/>
      <c r="T111" s="240" t="str">
        <f>IF(AA111=+"","",IF(AND(AA111&lt;=1,AB111&lt;=1,AD111&lt;=1,AE111&lt;=1),"OK!","NO!"))</f>
        <v/>
      </c>
      <c r="U111" s="240">
        <f>IF(W111=0,0,IF(IF(AC111&gt;=AF111,AC111,AF111)&lt;=1,"OK!","NO!"))</f>
        <v>0</v>
      </c>
      <c r="V111" s="827"/>
      <c r="W111" s="159"/>
      <c r="X111" s="205">
        <f>IF(W111=0,0,+CT111)</f>
        <v>0</v>
      </c>
      <c r="Y111" s="205" t="str">
        <f>IF(X111=0,"",ROUND(POWER(W111*X111,2)/(IF(V111=0,(R111/10-6)*(R111/10-3),(V111/10-6)*(V111/10-3))),2))</f>
        <v/>
      </c>
      <c r="Z111" s="206" t="str">
        <f>IF(EM111&gt;=EN111,EM111,EN111)</f>
        <v/>
      </c>
      <c r="AA111" s="206" t="str">
        <f>IF(R111=0,"",ROUNDUP(DE111/DM111,2))</f>
        <v/>
      </c>
      <c r="AB111" s="206" t="str">
        <f>IF(R111=0,"",ROUND(DF111/DT111,2))</f>
        <v/>
      </c>
      <c r="AC111" s="206" t="str">
        <f>IF(W111=0,"",ROUND(DG111/DO111,2))</f>
        <v/>
      </c>
      <c r="AD111" s="206" t="str">
        <f>IF(R111=0,"",ROUNDUP(DH111/DN111,2))</f>
        <v/>
      </c>
      <c r="AE111" s="206" t="str">
        <f>IF(R111=0,"",ROUNDUP(DI111/DZ111,2))</f>
        <v/>
      </c>
      <c r="AF111" s="206" t="str">
        <f>IF(W111=0,"",ROUNDUP(DJ111/DP111,2))</f>
        <v/>
      </c>
      <c r="AG111" s="333"/>
      <c r="AH111" s="333"/>
      <c r="AI111" s="334"/>
      <c r="AJ111" s="334"/>
      <c r="AK111" s="318">
        <f>IF(AH111=0,0,ROUND(AG111*AH111+AI111*AJ111,2))</f>
        <v>0</v>
      </c>
      <c r="AL111" s="318" t="str">
        <f>IF(AH111=0,"",IF(EH111&gt;=EJ111,EH111+EZ111,EJ111+FB111))</f>
        <v/>
      </c>
      <c r="AM111" s="248" t="str">
        <f>IF(AL111=+"","",IF(AL111&lt;=1,"OK!","NO!"))</f>
        <v/>
      </c>
      <c r="AN111" s="184">
        <f>+AN110</f>
        <v>0</v>
      </c>
      <c r="AO111" s="185">
        <f>+AO110</f>
        <v>0</v>
      </c>
      <c r="AP111" s="23"/>
      <c r="AQ111" s="23"/>
      <c r="CN111" s="23"/>
      <c r="CO111" s="23"/>
      <c r="CP111" s="9" t="e">
        <f>ROUNDUP((DC111*I110*100/2*4/3/DQ111)+GD111/DQ111+IF(J110=0,0,IF(VALUE(RIGHT(J110,4))=1,EO111/DQ111,0)),2)</f>
        <v>#VALUE!</v>
      </c>
      <c r="CQ111" s="9" t="e">
        <f>ROUNDUP((DD111*I110*100/2*4/3/DR111)+GD111/DR111+IF(J110=0,0,IF(VALUE(RIGHT(J110,4))=1,EP111/DR111,0)),2)</f>
        <v>#VALUE!</v>
      </c>
      <c r="CR111" s="23" t="e">
        <f>IF(CP111&gt;=CQ111,CP111,CQ111)</f>
        <v>#VALUE!</v>
      </c>
      <c r="CS111" s="23" t="e">
        <f>IF(CP111&gt;=CQ111,CP111,CQ111)</f>
        <v>#VALUE!</v>
      </c>
      <c r="CT111" s="9">
        <f>IF(R111=0,0,ROUNDUP(SQRT(IF(V111=0,(Z111*(R111/10-6)*(R111/10-3)),(Z111*(V111/10-6)*(V111/10-3)))/(W111*W111)),2))</f>
        <v>0</v>
      </c>
      <c r="CU111" s="9"/>
      <c r="CV111" s="23"/>
      <c r="CW111" s="23"/>
      <c r="CY111" s="63"/>
      <c r="CZ111" s="63">
        <f>ROUNDUP(IF(VALUE(RIGHT($G$3,3))=1,DA111*0.7,0),0)</f>
        <v>0</v>
      </c>
      <c r="DA111" s="63" t="e">
        <f>ROUNDUP(IF(VALUE(RIGHT($G$3,4))=1,$I$3*30*F110*100,$I$3*20*F110*100),0)</f>
        <v>#VALUE!</v>
      </c>
      <c r="DB111" s="63"/>
      <c r="DC111" s="87" t="e">
        <f>ROUNDUP(IF(VALUE(RIGHT($F111,4))=1,(準備!$G$60/100+準備!$D$48/100),(準備!$G$15/100+準備!$D$48/100+IF(N111=0,CZ111/100,0)))*($G110+$H110)/2,2)+IF($N111=0,0,$EQ111)</f>
        <v>#VALUE!</v>
      </c>
      <c r="DD111" s="87" t="e">
        <f>ROUNDUP(IF(VALUE(RIGHT($F111,4))=1,(準備!$G$60/100+6),(準備!$G$15/100+6+$DA110/100))*($G110+$H110)/2,2)+IF($N111=0,0,EQ111)</f>
        <v>#VALUE!</v>
      </c>
      <c r="DE111" s="63">
        <f>IF($R111=0,0,ROUNDUP($I110*100*($DC111*$I110*100+2*($GD111+IF(J110=0,0,IF(VALUE(RIGHT($J110,4))=1,$EO110,0))))/2/$DK111,1))</f>
        <v>0</v>
      </c>
      <c r="DF111" s="87" t="e">
        <f>ABS(ROUNDUP((3*$DC111*POWER($I110*100,4)+$DC111*$I110*100*$I112*100*(4*POWER($I110*100,2)-POWER($I112*100,2))+8*($GD110+IF(J110=0,0,IF(VALUE(RIGHT($J110,4))=1,$EO111*POWER($I110*100,2)*($I110*100+$I112*100),0))))/(24*$CX110*$DL111*100),2))</f>
        <v>#VALUE!</v>
      </c>
      <c r="DG111" s="87" t="e">
        <f>ROUND(($DC111*$I110*100+(GD110+IF(J110=0,0,IF(VALUE(RIGHT($J110,4))=1,$EO111,0))))/($Y111*3*2),1)</f>
        <v>#VALUE!</v>
      </c>
      <c r="DH111" s="63">
        <f>IF($R111=0,0,ROUNDUP($I110*100*($DD111*$I110*100+2*($GD110+IF(J110=0,0,IF(VALUE(RIGHT($J110,4))=1,$EP110,0))))/2/$DK111,1))</f>
        <v>0</v>
      </c>
      <c r="DI111" s="87" t="e">
        <f>ABS(ROUNDUP((3*$DD111*POWER($I110*100,4)+$DD111*$I110*100*$I112*100*(4*POWER($I110*100,2)-POWER($I112*100,2))+8*($GD110+IF(J110=0,0,IF(VALUE(RIGHT($J110,4))=1,$EP111*POWER($I110*100,2)*($I110*100+$I112*100),0))))/(24*$CX110*$DL111*100),2))</f>
        <v>#VALUE!</v>
      </c>
      <c r="DJ111" s="87" t="e">
        <f>ROUND(($DD111*$I110*100+GD110+IF(J110=0,0,IF(VALUE(RIGHT($J110,4))=1,$EP111,0)))/($Y111*3*2),1)</f>
        <v>#VALUE!</v>
      </c>
      <c r="DK111" s="63">
        <f>IF(R111&lt;180,ROUND((R111/10-3)*POWER(R111/10-3,2)/6*IF(S111=0,1,S111),0),ROUND((R111/10-5)*POWER(R111/10-3,2)/6*IF($S111=0,1,$S111),0))</f>
        <v>-5</v>
      </c>
      <c r="DL111" s="63">
        <f>ROUND(IF(R111&lt;180,(R111/10-3)*POWER((R111/10-3),3)/12*IF(S111=0,1,S111),(R111/10-5))*POWER((R111/10-3),3)/12*IF(S111=0,1,S111),0)</f>
        <v>-15</v>
      </c>
      <c r="DM111" s="10" t="e">
        <f>IF($DN$6=2,ROUND(VLOOKUP(DV111,許容応力!$L$6:$U$22,7)*1.1/3*100,0),ROUND(VLOOKUP(DV111,許容応力!$L$6:$U$22,7)*1.1/3*1.3*100,0))</f>
        <v>#VALUE!</v>
      </c>
      <c r="DN111" s="63" t="e">
        <f>ROUND(VLOOKUP(DV111,許容応力!$L$6:$U$22,7)*100*2/3*0.8,0)</f>
        <v>#VALUE!</v>
      </c>
      <c r="DO111" s="10" t="e">
        <f>IF($DN$6=2,ROUND(VLOOKUP(DV111,許容応力!$L$6:$U$22,8)*1.1/3*100,0),ROUND(VLOOKUP(DV111,許容応力!$L$6:$U$22,8)*1.1/3*1.3*100,0))</f>
        <v>#VALUE!</v>
      </c>
      <c r="DP111" s="63" t="e">
        <f>ROUND(VLOOKUP(DV111,許容応力!$L$6:$U$22,8)*100*2/3*0.8,0)</f>
        <v>#VALUE!</v>
      </c>
      <c r="DQ111" s="10" t="e">
        <f>IF($DN$6=2,ROUND(VLOOKUP(DV111,許容応力!$L$6:$U$22,9)*1.1/3*100,0),ROUND(VLOOKUP(DV111,許容応力!$L$6:$U$22,9)*1.1/3*1.3*100,0))</f>
        <v>#VALUE!</v>
      </c>
      <c r="DR111" s="63" t="e">
        <f>ROUND(VLOOKUP(DV111,許容応力!$L$6:$U$22,9)*100*2/3*0.8,0)</f>
        <v>#VALUE!</v>
      </c>
      <c r="DS111" s="63">
        <v>600</v>
      </c>
      <c r="DT111" s="63">
        <f>ROUND(I110*100/DS111,2)</f>
        <v>0</v>
      </c>
      <c r="DU111" s="63"/>
      <c r="DV111" s="78" t="e">
        <f>+VALUE(RIGHT(O110,3))</f>
        <v>#VALUE!</v>
      </c>
      <c r="DW111" s="69">
        <f>ROUND(ATAN(E110/10)*180/PI(),4)</f>
        <v>0</v>
      </c>
      <c r="DX111" s="70">
        <f>ROUND(COS(DW111*PI()/180),3)</f>
        <v>1</v>
      </c>
      <c r="DY111" s="63">
        <v>225</v>
      </c>
      <c r="DZ111" s="63">
        <f>ROUND(I110*100/DY111,2)</f>
        <v>0</v>
      </c>
      <c r="EA111" s="63"/>
      <c r="EB111" s="78" t="e">
        <f>ROUNDUP((準備!$G$60/100+準備!$E$48/100)*($G110+$H110)/2,2)+IF(J110=0,0,IF(VALUE(RIGHT($J110,4))=1,$EQ111,0))</f>
        <v>#N/A</v>
      </c>
      <c r="EC111" s="63"/>
      <c r="ED111" s="71">
        <f>IF(I110&lt;6,POWER(R111/10,2)*I110/10000,POWER((R111/10+(ROUNDDOWN(I110,0)-4)/2),2)*I110/10000)</f>
        <v>0</v>
      </c>
      <c r="EE111" s="63">
        <v>200</v>
      </c>
      <c r="EF111" s="84">
        <f>ROUND(ED111*EE111/100,0)</f>
        <v>0</v>
      </c>
      <c r="EG111" s="63" t="e">
        <f>ROUND((DC111*I110*100/2+EF111)/AK111,1)</f>
        <v>#VALUE!</v>
      </c>
      <c r="EH111" s="63" t="e">
        <f>ROUND(EG111/DQ111,2)</f>
        <v>#VALUE!</v>
      </c>
      <c r="EI111" s="63" t="e">
        <f>ROUND((DD111*I110*100/2+EF111)/AK111,1)</f>
        <v>#VALUE!</v>
      </c>
      <c r="EJ111" s="63" t="e">
        <f>ROUND(EI111/DR111,2)</f>
        <v>#VALUE!</v>
      </c>
      <c r="EK111" s="63" t="e">
        <f>ROUNDUP(IF(F110&gt;=F111,F110,F111)*EC111/#REF!,2)</f>
        <v>#VALUE!</v>
      </c>
      <c r="EL111" s="63" t="e">
        <f>ROUNDUP(IF(F110&gt;=F111,F110,F111)*ED111/#REF!,2)</f>
        <v>#VALUE!</v>
      </c>
      <c r="EM111" s="87" t="str">
        <f>IF(E110=0,"",ROUND(DC111*I110*100/2/DO111,1))</f>
        <v/>
      </c>
      <c r="EN111" s="87" t="str">
        <f>IF(E110=0,"",ROUND(DD111*I110*100/2/DP111,1))</f>
        <v/>
      </c>
      <c r="EO111" s="63">
        <f>IF(L110=0,0,ROUNDUP((準備!$G$57/DX111+IF(AND(VALUE(RIGHT($G$3,4))=1,$T$3=2),CZ111/DX111*1.2,CZ111/DX111))*(K110+K111)/2*(L110+L111)/2,0))</f>
        <v>0</v>
      </c>
      <c r="EP111" s="63">
        <f>IF(L110=0,0,ROUNDUP((準備!$G$57/DX111+IF(AND(VALUE(RIGHT($G$3,4))=1,$T$3=2),DA111/DX111*1.2,DA111/DX111))*(K110+K111)/2*(L110+L111)/2,0))</f>
        <v>0</v>
      </c>
      <c r="EQ111" s="63">
        <f>+EQ110</f>
        <v>0</v>
      </c>
      <c r="ER111" s="63">
        <f>IF(J110=0,0,IF(VALUE(RIGHT(J110,4))=2,0,ROUNDUP(J114*100*J115*100/(I110*100)*EO111/DK111,1)))</f>
        <v>0</v>
      </c>
      <c r="ES111" s="63" t="e">
        <f>IF(FC111=2,0,ROUNDUP(N282*J115/I110*100*EP111/DK111,1))</f>
        <v>#VALUE!</v>
      </c>
      <c r="ET111" s="63" t="e">
        <f>ROUNDUP(EO111*IF(J114&gt;=J115,J114*100,J115*100)*SQRT(POWER(ABS(POWER(J114,2)-POWER(J115,2)),3)/(9*SQRT(3)*EV111*DL111*I110)),2)</f>
        <v>#VALUE!</v>
      </c>
      <c r="EU111" s="63" t="e">
        <f>ROUNDUP(EP111*IF(J114&gt;=J115,J114*100,J115*100)*SQRT(POWER(ABS(POWER(J114,2)-POWER(J115,2)),3)/(9*SQRT(3)*EV111*DL111*I110)),2)</f>
        <v>#VALUE!</v>
      </c>
      <c r="EV111" s="63" t="e">
        <f>+VLOOKUP(DV111,許容応力!$L$6:$V$22,10)*100</f>
        <v>#VALUE!</v>
      </c>
      <c r="EW111" s="63">
        <f>+$GD110+IF(J110=0,0,IF(VALUE(RIGHT($J110,4))=1,$EO111,0))</f>
        <v>0</v>
      </c>
      <c r="EX111" s="63">
        <f>+$GD$98+IF(J110=0,0,IF(VALUE(RIGHT($J110,4))=1,$EP111,0))</f>
        <v>0</v>
      </c>
      <c r="EY111" s="63" t="e">
        <f>ROUND(EW111/AK111,1)</f>
        <v>#DIV/0!</v>
      </c>
      <c r="EZ111" s="63" t="e">
        <f>ROUND(EY111/DQ111,2)</f>
        <v>#DIV/0!</v>
      </c>
      <c r="FA111" s="63" t="e">
        <f>ROUND(EX111/AK111,1)</f>
        <v>#DIV/0!</v>
      </c>
      <c r="FB111" s="63" t="e">
        <f>ROUND(FA111/DR111,2)</f>
        <v>#DIV/0!</v>
      </c>
      <c r="FC111" s="63" t="e">
        <f>+VALUE(RIGHT(J110,3))</f>
        <v>#VALUE!</v>
      </c>
      <c r="FD111" s="63">
        <f>IF($DN$6=2,400,200)</f>
        <v>200</v>
      </c>
      <c r="FE111" s="63">
        <f>ROUND(I110*100/FD111,2)</f>
        <v>0</v>
      </c>
      <c r="FF111" s="78">
        <v>200</v>
      </c>
      <c r="FG111" s="63">
        <f>ROUND(I110*100/FF111,2)</f>
        <v>0</v>
      </c>
      <c r="FH111" s="78" t="e">
        <f>ROUND(ET111/FE111,1)</f>
        <v>#VALUE!</v>
      </c>
      <c r="FI111" s="78" t="e">
        <f>ROUND(EU111/FG111,1)</f>
        <v>#VALUE!</v>
      </c>
      <c r="FJ111" s="78"/>
      <c r="FK111" s="63" t="e">
        <f>IF(S111=0.8,VLOOKUP(FR111,$CR$395:$CS$439,2),IF(S111=0.9,VLOOKUP(FR111,$CR$348:$CS$394,2),VLOOKUP(FR111,$CR$301:$CS$344,2)))</f>
        <v>#VALUE!</v>
      </c>
      <c r="FL111" s="63" t="e">
        <f>IF(S111=0.8,VLOOKUP(FS111,$CT$395:$CU$439,2),IF(S111=0.9,VLOOKUP(FS111,$CT$348:$CU$394,2),VLOOKUP(FS111,$CT$301:$CU$344,2)))</f>
        <v>#VALUE!</v>
      </c>
      <c r="FN111" s="63" t="e">
        <f>IF(S111=0.8,VLOOKUP(FU111,$CR$395:$CS$439,2),IF(S111=0.9,VLOOKUP(FU111,$CR$348:$CS$394,2),VLOOKUP(FU111,$CR$301:$CS$344,2)))</f>
        <v>#VALUE!</v>
      </c>
      <c r="FO111" s="63" t="e">
        <f>IF(S111=0.8,VLOOKUP(FV111,$CT$395:$CU$439,2),IF(S111=0.9,VLOOKUP(FV111,$CT$348:$CU$394,2),VLOOKUP(FV111,$CT$301:$CU$344,2)))</f>
        <v>#VALUE!</v>
      </c>
      <c r="FP111" s="155" t="e">
        <f>+MAX(FK111:FO111)</f>
        <v>#VALUE!</v>
      </c>
      <c r="FQ111" s="2"/>
      <c r="FR111" s="63" t="e">
        <f>ROUNDUP($I110*100*($DC111*$I110*100+2*($GD111+IF(J110=0,0,IF(VALUE(RIGHT($J110,4))=1,$EO110,0))))/2/$DM111,1)</f>
        <v>#VALUE!</v>
      </c>
      <c r="FS111" s="87" t="e">
        <f>ABS(ROUNDUP((3*$DC111*POWER($I110*100,4)+$DC111*$I110*100*$I112*100*(4*POWER($I110*100,2)-POWER($I112*100,2))+8*($GD110+IF(J110=0,0,IF(VALUE(RIGHT($J110,4))=1,$EO111*POWER($I110*100,2)*($I110*100+$I112*100),0))))/(24*$CX110*$DT111*100),2))</f>
        <v>#VALUE!</v>
      </c>
      <c r="FT111" s="87"/>
      <c r="FU111" s="63" t="e">
        <f>ROUNDUP($I110*100*($DD111*$I110*100+2*($GD110+IF(J110=0,0,IF(VALUE(RIGHT($J110,4))=1,$EP110,0))))/2/$DN111,1)</f>
        <v>#VALUE!</v>
      </c>
      <c r="FV111" s="87" t="e">
        <f>ABS(ROUNDUP((3*$DD111*POWER($I110*100,4)+$DD111*$I110*100*$I112*100*(4*POWER($I110*100,2)-POWER($I112*100,2))+8*($GD110+IF(J110=0,0,IF(VALUE(RIGHT($J110,4))=1,$EP111*POWER($I110*100,2)*($I110*100+$I112*100),0))))/(24*$CX110*$DZ111*100),2))</f>
        <v>#VALUE!</v>
      </c>
      <c r="FW111" s="2"/>
      <c r="FX111" s="2"/>
      <c r="FY111" s="2"/>
      <c r="FZ111" s="2"/>
      <c r="GA111" s="2"/>
      <c r="GB111" s="2"/>
      <c r="GD111" s="63">
        <f>+GD110</f>
        <v>0</v>
      </c>
    </row>
    <row r="112" spans="2:186" ht="15.95" customHeight="1" thickBot="1" x14ac:dyDescent="0.2">
      <c r="B112" s="1514"/>
      <c r="C112" s="1499"/>
      <c r="D112" s="1376" t="s">
        <v>715</v>
      </c>
      <c r="E112" s="1509">
        <f>+E110</f>
        <v>0</v>
      </c>
      <c r="F112" s="1510" t="str">
        <f>IF(E112=0,"",ROUND(SQRT(COS(DW112*1.5*PI()/180)),3))</f>
        <v/>
      </c>
      <c r="G112" s="1359"/>
      <c r="H112" s="1359"/>
      <c r="I112" s="1359"/>
      <c r="J112" s="303"/>
      <c r="K112" s="302"/>
      <c r="L112" s="302"/>
      <c r="M112" s="309" t="s">
        <v>259</v>
      </c>
      <c r="N112" s="1147"/>
      <c r="O112" s="1598">
        <f>+O110</f>
        <v>0</v>
      </c>
      <c r="P112" s="305">
        <f>+P110</f>
        <v>0</v>
      </c>
      <c r="Q112" s="195">
        <f>+IF(P112=0,0,"×")</f>
        <v>0</v>
      </c>
      <c r="R112" s="237">
        <f>IF(P112=0,0,+FP112)</f>
        <v>0</v>
      </c>
      <c r="S112" s="1119"/>
      <c r="T112" s="238" t="str">
        <f>IF(AA112=+"","",IF(AND(AA112&lt;=1,AB112&lt;=1,AD112&lt;=1,AE112&lt;=1),"OK!","NO!"))</f>
        <v/>
      </c>
      <c r="U112" s="238">
        <f>IF(W112=0,0,IF(IF(AC112&gt;=AF112,AC112,AF112)&lt;=1,"OK!","NO!"))</f>
        <v>0</v>
      </c>
      <c r="V112" s="828"/>
      <c r="W112" s="157"/>
      <c r="X112" s="198">
        <f>IF(W112=0,0,+CT112)</f>
        <v>0</v>
      </c>
      <c r="Y112" s="198">
        <f>IF(X112=0,0,ROUND(POWER(W112*X112,2)/(P112/10*IF(V112=0,R112/10,V112/10)),2))</f>
        <v>0</v>
      </c>
      <c r="Z112" s="199" t="str">
        <f>IF(EM112&gt;=EN112,EM112,EN112)</f>
        <v/>
      </c>
      <c r="AA112" s="199" t="str">
        <f>IF(R112=0,"",ROUNDUP((DE112)/DM112,2))</f>
        <v/>
      </c>
      <c r="AB112" s="199" t="str">
        <f>IF(R112=0,"",ROUND(DF112/DT112,2))</f>
        <v/>
      </c>
      <c r="AC112" s="199" t="str">
        <f>IF(W112=0,"",ROUND(DG112/DO112,2))</f>
        <v/>
      </c>
      <c r="AD112" s="199" t="str">
        <f>IF(R112=0,"",ROUNDUP((DH112)/DN112,2))</f>
        <v/>
      </c>
      <c r="AE112" s="199" t="str">
        <f>IF(R112=0,"",ROUNDUP(DI112/DZ112,2))</f>
        <v/>
      </c>
      <c r="AF112" s="201" t="str">
        <f>IF(W112=0,"",ROUNDUP(DJ112/DP112,2))</f>
        <v/>
      </c>
      <c r="AG112" s="327"/>
      <c r="AH112" s="321"/>
      <c r="AI112" s="328"/>
      <c r="AJ112" s="328"/>
      <c r="AK112" s="321"/>
      <c r="AL112" s="321"/>
      <c r="AM112" s="322"/>
      <c r="AN112" s="186">
        <f>IF(I112=0,0,+AN110)</f>
        <v>0</v>
      </c>
      <c r="AO112" s="295">
        <f>IF(I112=0,0,+DS112)</f>
        <v>0</v>
      </c>
      <c r="CP112" s="9" t="e">
        <f>ROUNDUP((DC112*I112*100/2*3/2/DQ112),2)</f>
        <v>#N/A</v>
      </c>
      <c r="CQ112" s="9" t="e">
        <f>ROUNDUP((DD112*I112*100/2*3/2/DR112),2)</f>
        <v>#N/A</v>
      </c>
      <c r="CR112" s="23" t="e">
        <f>IF(CP112&gt;=CQ112,CP112,CQ112)</f>
        <v>#N/A</v>
      </c>
      <c r="CS112" s="23" t="e">
        <f>IF(CP112&gt;=CQ112,CP112,CQ112)</f>
        <v>#N/A</v>
      </c>
      <c r="CT112" s="9">
        <f>IF(R112=0,0,ROUNDUP(SQRT((Z112*P112/10*IF(V112=0,R112/10,V112/10))/(W112*W112)),2))</f>
        <v>0</v>
      </c>
      <c r="CU112" s="9"/>
      <c r="CV112" s="23"/>
      <c r="CW112" s="23" t="e">
        <f>ROUND((POWER(I112*100,2)-POWER(I110*100,2))/2/(I112*100),2)</f>
        <v>#DIV/0!</v>
      </c>
      <c r="CY112" s="63"/>
      <c r="CZ112" s="87">
        <f>ROUNDUP(IF(VALUE(RIGHT($G$3,3))=1,DA112*0.7,0),0)</f>
        <v>0</v>
      </c>
      <c r="DA112" s="87" t="e">
        <f>ROUNDUP(IF(VALUE(RIGHT($G$3,4))=1,$I$3*30*F112*100,$I$3*20*F112*100),0)</f>
        <v>#VALUE!</v>
      </c>
      <c r="DB112" s="87"/>
      <c r="DC112" s="87" t="e">
        <f>ROUNDUP((準備!$G$60/100+準備!$D$48/100)*($G112+$H112)/2,2)+IF($M115=0,0,$EQ112)</f>
        <v>#N/A</v>
      </c>
      <c r="DD112" s="87">
        <f>ROUNDUP((準備!$G$60/100+6)*(G112+H112)/2,2)+IF(M115=0,0,EQ112)</f>
        <v>0</v>
      </c>
      <c r="DE112" s="87" t="e">
        <f>ABS(ROUNDUP(($DC112*$I112*100*POWER($CW112,2)-2*($GD110+$EO110*$I110*100*$CW112))/2/($I112*100)/$DK112,1))</f>
        <v>#N/A</v>
      </c>
      <c r="DF112" s="87" t="e">
        <f>ABS(ROUNDUP((5*$DC112*POWER($I112*100,4)-$DC112*POWER($I110*100,2)-24.6528*($GD110+IF(J110=0,0,IF(VALUE(RIGHT($J110,4))=1,$EO110*$I110*100*POWER($I112*100,2),0))))/(384*VLOOKUP(VALUE(RIGHT($O110,4)),許容応力!$B$6:$K$22,10)*100*$DL112*100),2))</f>
        <v>#N/A</v>
      </c>
      <c r="DG112" s="87" t="e">
        <f>ROUND(($DC112*($I112*100-$CW112)+(GD110*I110*100/(I112*100)+IF(J110=0,0,IF(VALUE(RIGHT($J110,4))=1,$EO110*$I110*100/($I112*100),0))))/($Y112*3*2),1)</f>
        <v>#N/A</v>
      </c>
      <c r="DH112" s="87" t="e">
        <f>ABS(ROUNDUP(($DD112*$I112*100*POWER($CW112,2)-2*($GD110+IF(J110=0,0,IF(VALUE(RIGHT($J110,4))=1,$EP110*$I110*100*$CW112,0))))/2/($I112*100)/$DK112,1))</f>
        <v>#DIV/0!</v>
      </c>
      <c r="DI112" s="87" t="e">
        <f>ABS(ROUNDUP((5*$DD112*POWER($I112*100,4)-$DD112*POWER($I110*100,2)-24.6528*($GD110+$EP110*$I110*100*POWER($I112*100,2)))/(384*VLOOKUP(VALUE(RIGHT($O110,4)),許容応力!$B$6:$K$22,10)*100*$DL112*100),2))</f>
        <v>#VALUE!</v>
      </c>
      <c r="DJ112" s="87" t="e">
        <f>ROUND(($DD112*($I112*100-$CW112)+(GD110*I110*100/(I112*100)+IF(J110=0,0,IF(VALUE(RIGHT($J110,4))=1,$EP110*$I110*100/($I112*100),0))))/($Y112*3*2),1)</f>
        <v>#DIV/0!</v>
      </c>
      <c r="DK112" s="87">
        <f>ROUNDDOWN($P112/10*POWER($R112/10,2)/6*IF(OR($S112=0,$S112=1),1,$S112),0)</f>
        <v>0</v>
      </c>
      <c r="DL112" s="87">
        <f>ROUNDDOWN($P112/10*POWER($R112/10,3)/12*IF(OR($S112=0,$S112=1),1,$S112),0)</f>
        <v>0</v>
      </c>
      <c r="DM112" s="88" t="e">
        <f>IF($DN$6=2,ROUND(VLOOKUP(DV112,許容応力!$B$6:$K$22,7)*1.1/3*100,0),ROUND(VLOOKUP(DV112,許容応力!$B$6:$K$22,7)*1.1/3*1.3*100,0))</f>
        <v>#N/A</v>
      </c>
      <c r="DN112" s="87" t="e">
        <f>ROUND(VLOOKUP(DV112,許容応力!$B$6:$K$22,7)*100*2/3*0.8,0)</f>
        <v>#N/A</v>
      </c>
      <c r="DO112" s="88" t="e">
        <f>IF($DN$6=2,ROUND(VLOOKUP(DV112,許容応力!$B$6:$K$22,8)*1.1/3*100,0),ROUND(VLOOKUP(DV112,許容応力!$B$6:$K$22,8)*1.1/3*1.3*100,0))</f>
        <v>#N/A</v>
      </c>
      <c r="DP112" s="87" t="e">
        <f>ROUND(VLOOKUP(DV112,許容応力!$B$6:$K$22,8)*100*2/3*0.8,0)</f>
        <v>#N/A</v>
      </c>
      <c r="DQ112" s="88" t="e">
        <f>IF($DN$6=2,ROUND(VLOOKUP(DV112,許容応力!$B$6:$K$22,9)*1.1/3*100,0),ROUND(VLOOKUP(DV112,許容応力!$B$6:$K$22,9)*1.1/3*100*1.3,0))</f>
        <v>#N/A</v>
      </c>
      <c r="DR112" s="87" t="e">
        <f>ROUND(VLOOKUP(DV112,許容応力!$B$6:$K$22,9)*100*2/3*0.8,0)</f>
        <v>#N/A</v>
      </c>
      <c r="DS112" s="87">
        <v>600</v>
      </c>
      <c r="DT112" s="87">
        <f>ROUND(I112*100/DS112,2)</f>
        <v>0</v>
      </c>
      <c r="DU112" s="87"/>
      <c r="DV112" s="87">
        <f>+VALUE(RIGHT(O112,3))</f>
        <v>0</v>
      </c>
      <c r="DW112" s="89">
        <f>ROUND(ATAN(E112/10)*180/PI(),4)</f>
        <v>0</v>
      </c>
      <c r="DX112" s="90">
        <f>ROUND(COS(DW112*PI()/180),3)</f>
        <v>1</v>
      </c>
      <c r="DY112" s="87">
        <v>225</v>
      </c>
      <c r="DZ112" s="87">
        <f>ROUND(I112*100/DY112,2)</f>
        <v>0</v>
      </c>
      <c r="EA112" s="87"/>
      <c r="EB112" s="87" t="e">
        <f>ROUNDUP((準備!$G$60/100+準備!$E$48/100)*($G112+$H112)/2,2)+IF(J110=0,0,IF(VALUE(RIGHT($J110,4))=1,$EQ112,0))</f>
        <v>#N/A</v>
      </c>
      <c r="EC112" s="87"/>
      <c r="ED112" s="87"/>
      <c r="EE112" s="87"/>
      <c r="EF112" s="87"/>
      <c r="EG112" s="87" t="e">
        <f>ROUND(DC112*I112*100/2/AK112,1)</f>
        <v>#N/A</v>
      </c>
      <c r="EH112" s="87" t="e">
        <f>ROUND(EG112/DQ112,2)</f>
        <v>#N/A</v>
      </c>
      <c r="EI112" s="87" t="e">
        <f>ROUND(DD112*I112*100/2/AK112,1)</f>
        <v>#DIV/0!</v>
      </c>
      <c r="EJ112" s="87" t="e">
        <f>ROUND(EI112/DR112,2)</f>
        <v>#DIV/0!</v>
      </c>
      <c r="EK112" s="63" t="e">
        <f>IF(ES112=2,0,ROUNDUP(IF(F112&gt;=F113,F112,F113)*EC112/#REF!,2))</f>
        <v>#VALUE!</v>
      </c>
      <c r="EL112" s="63" t="e">
        <f>IF(ES112=2,0,ROUNDUP(IF(F112&gt;=F113,F112,F113)*ED112/#REF!,2))</f>
        <v>#VALUE!</v>
      </c>
      <c r="EM112" s="87" t="str">
        <f>IF(E112=0,"",ROUND(DC112*I112*100/2/DO112,1))</f>
        <v/>
      </c>
      <c r="EN112" s="87" t="str">
        <f>IF(E112=0,"",ROUND(DD112*I112*100/2/DP112,1))</f>
        <v/>
      </c>
      <c r="EO112" s="87">
        <f>IF(L110=0,0,ROUNDUP((準備!$G$57/DX112+IF(AND(VALUE(RIGHT($G$3,4))=1,$T$3=2),CZ112/DX112*1.2,CZ112/DX112))*(K110+K111)/2*(L110+L111)/2,0))</f>
        <v>0</v>
      </c>
      <c r="EP112" s="87">
        <f>IF(L110=0,0,ROUNDUP((準備!$G$57/DX112+IF(AND(VALUE(RIGHT($G$3,4))=1,$T$3=2),DA112/DX112*1.2,DA112/DX112))*(K110+K111)/2*(L110+L111)/2,0))</f>
        <v>0</v>
      </c>
      <c r="EQ112" s="63">
        <f>IF(N113=0,0,VLOOKUP(VALUE(RIGHT(N112,4)),$M$600:$O$605,3)/10000*N113*100)</f>
        <v>0</v>
      </c>
      <c r="ER112" s="63">
        <f>IF(J112=0,0,IF(VALUE(RIGHT(J112,4))=2,0,ROUNDUP(N114*100*N115*100/(I112*100)*EO112/DK112,1)))</f>
        <v>0</v>
      </c>
      <c r="ES112" s="63" t="e">
        <f>IF(FC112=2,0,ROUNDUP(N114*N115/I112*100*EP112/DK112,1))</f>
        <v>#VALUE!</v>
      </c>
      <c r="ET112" s="63" t="e">
        <f>IF(FC112=2,0,IF(FC112=0,0,ROUNDUP(EO112*IF(N114&gt;=N115,N114,N115)*SQRT(POWER(ABS(POWER(N114,2)-POWER(N115,2)),3)/(9*SQRT(3)*EV112*DL112*I112)),2)))</f>
        <v>#VALUE!</v>
      </c>
      <c r="EU112" s="63" t="e">
        <f>IF(FC112=2,0,ROUNDUP(EP112*IF(N114&gt;=N115,N114,N115)*SQRT(POWER(ABS(POWER(N114,2)-POWER(N115,2)),3)/(9*SQRT(3)*EV112*DL112*I112)),2))</f>
        <v>#VALUE!</v>
      </c>
      <c r="EV112" s="63" t="e">
        <f>+VLOOKUP(DV112,許容応力!$B$6:$K$22,10)*100</f>
        <v>#N/A</v>
      </c>
      <c r="EW112" s="63" t="e">
        <f>IF(FC112=2,0,ROUNDUP(IF(N114&gt;=N115,N114,N115)*EO112/I112,0))</f>
        <v>#VALUE!</v>
      </c>
      <c r="EX112" s="63" t="e">
        <f>IF(FC112=2,0,ROUNDUP(IF(N114&gt;=N115,N114,N115)*EP112/I112,0))</f>
        <v>#VALUE!</v>
      </c>
      <c r="EY112" s="63" t="e">
        <f>ROUND(EW112*100/AK112,1)</f>
        <v>#VALUE!</v>
      </c>
      <c r="EZ112" s="63" t="e">
        <f>ROUND(EY112/DQ112,2)</f>
        <v>#VALUE!</v>
      </c>
      <c r="FA112" s="63" t="e">
        <f>ROUND(EX112*100/AK112,1)</f>
        <v>#VALUE!</v>
      </c>
      <c r="FB112" s="63" t="e">
        <f>ROUND(FA112/DR112,2)</f>
        <v>#VALUE!</v>
      </c>
      <c r="FC112" s="63" t="e">
        <f>+VALUE(RIGHT(J110,3))</f>
        <v>#VALUE!</v>
      </c>
      <c r="FD112" s="63">
        <f>IF($DN$6=2,400,200)</f>
        <v>200</v>
      </c>
      <c r="FE112" s="63">
        <f>ROUND(I112*100/FD112,2)</f>
        <v>0</v>
      </c>
      <c r="FF112" s="63">
        <v>200</v>
      </c>
      <c r="FG112" s="63">
        <f>ROUND(I112*100/FF112,2)</f>
        <v>0</v>
      </c>
      <c r="FH112" s="78" t="e">
        <f>ROUND(ET112/FE112,1)</f>
        <v>#VALUE!</v>
      </c>
      <c r="FI112" s="78" t="e">
        <f>ROUND(EU112/FG112,1)</f>
        <v>#VALUE!</v>
      </c>
      <c r="FJ112" s="78"/>
      <c r="FK112" s="63" t="e">
        <f>IF(FR112&lt;21,21,IF(AND(FR112&gt;21,FR112&lt;=24),24,IF(AND(FR112&gt;30,FR112&lt;=40),40,IF(AND(FR112&gt;40,FR112&lt;=45),45,IF(AND(FR112&gt;60,FR112&lt;=75),75,IF(AND(FR112&gt;90,FR112&lt;=105),105,IF(AND(FR112&gt;120,FR112&lt;=135),135,ROUNDUP(FR112/3,-1)*3)))))))</f>
        <v>#N/A</v>
      </c>
      <c r="FL112" s="63" t="e">
        <f>IF(FS112&lt;21,21,IF(AND(FS112&gt;21,FS112&lt;=24),24,IF(AND(FS112&gt;30,FS112&lt;=40),40,IF(AND(FS112&gt;40,FS112&lt;=45),45,IF(AND(FS112&gt;60,FS112&lt;=75),75,IF(AND(FS112&gt;90,FS112&lt;=105),105,IF(AND(FS112&gt;120,FS112&lt;=135),135,ROUNDUP(FS112/3,-1)*3)))))))</f>
        <v>#N/A</v>
      </c>
      <c r="FN112" s="63" t="e">
        <f>IF(FU112&lt;21,21,IF(AND(FU112&gt;21,FU112&lt;=24),24,IF(AND(FU112&gt;30,FU112&lt;=40),40,IF(AND(FU112&gt;40,FU112&lt;=45),45,IF(AND(FU112&gt;60,FU112&lt;=75),75,IF(AND(FU112&gt;90,FU112&lt;=105),105,IF(AND(FU112&gt;120,FU112&lt;=135),135,ROUNDUP(FU112/3,-1)*3)))))))</f>
        <v>#DIV/0!</v>
      </c>
      <c r="FO112" s="63" t="e">
        <f>IF(FV112&lt;21,21,IF(AND(FV112&gt;21,FV112&lt;=24),24,IF(AND(FV112&gt;30,FV112&lt;=40),40,IF(AND(FV112&gt;40,FV112&lt;=45),45,IF(AND(FV112&gt;60,FV112&lt;=75),75,IF(AND(FV112&gt;90,FV112&lt;=105),105,IF(AND(FV112&gt;120,FV112&lt;=135),135,ROUNDUP(FV112/3,-1)*3)))))))</f>
        <v>#VALUE!</v>
      </c>
      <c r="FP112" s="155" t="e">
        <f>+MAX(FK112:FO112)</f>
        <v>#N/A</v>
      </c>
      <c r="FQ112" s="2"/>
      <c r="FR112" s="87" t="e">
        <f>ROUND(SQRT(FX112/($P112/10)*6/IF(OR($S112=0,$S112=1),1,$S112))*10,0)</f>
        <v>#N/A</v>
      </c>
      <c r="FS112" s="87" t="e">
        <f>POWER(ROUND(FY112/($P112/10)*12/IF(OR($S112=0,$S112=1),1,$S112),0),1/3)*10</f>
        <v>#N/A</v>
      </c>
      <c r="FU112" s="87" t="e">
        <f>ROUND(SQRT(GA112/($P112/10)*6/IF(OR($S112=0,$S112=1),1,$S112))*10,0)</f>
        <v>#DIV/0!</v>
      </c>
      <c r="FV112" s="87" t="e">
        <f>POWER(ROUND(GB112/($P112/10)*12/IF(OR($S112=0,$S112=1),1,$S112),0),1/3)*10</f>
        <v>#VALUE!</v>
      </c>
      <c r="FW112" s="2"/>
      <c r="FX112" s="87" t="e">
        <f>ABS(ROUNDUP(($DC112*$I112*100*POWER($CW112,2)-2*($EQ110+$EO110*$I110*100*$CW112))/2/($I112*100)/$DM112,1))</f>
        <v>#N/A</v>
      </c>
      <c r="FY112" s="87" t="e">
        <f>ABS(ROUNDUP((5*$DC112*POWER($I112*100,4)-$DC112*POWER($I110*100,2)-24.6528*($GD110+IF(J110=0,0,IF(VALUE(RIGHT($J110,4))=1,$EO110*$I110*100*POWER($I112*100,2),0))))/(384*VLOOKUP(VALUE(RIGHT($O110,4)),許容応力!$B$6:$K$22,10)*100*$DT112),2))</f>
        <v>#N/A</v>
      </c>
      <c r="FZ112" s="87"/>
      <c r="GA112" s="87" t="e">
        <f>ABS(ROUNDUP(($DD112*$I112*100*POWER($CW112,2)-2*($EQ110+IF(J110=0,0,IF(VALUE(RIGHT($J110,4))=1,$EP110*$I110*100*$CW112,0))))/2/($I112*100)/$DN112,1))</f>
        <v>#DIV/0!</v>
      </c>
      <c r="GB112" s="87" t="e">
        <f>ABS(ROUNDUP((5*$DD112*POWER($I112*100,4)-$DD112*POWER($I110*100,2)-24.6528*($GD110+$EP110*$I110*100*POWER($I112*100,2)))/(384*VLOOKUP(VALUE(RIGHT($O110,4)),許容応力!$B$6:$K$22,10)*100*$DZ112),2))</f>
        <v>#VALUE!</v>
      </c>
    </row>
    <row r="113" spans="2:186" ht="15.95" customHeight="1" x14ac:dyDescent="0.15">
      <c r="B113" s="1514"/>
      <c r="C113" s="1499"/>
      <c r="D113" s="1502"/>
      <c r="E113" s="1509"/>
      <c r="F113" s="1511"/>
      <c r="G113" s="1359"/>
      <c r="H113" s="1359"/>
      <c r="I113" s="1359"/>
      <c r="J113" s="304"/>
      <c r="K113" s="300"/>
      <c r="L113" s="300"/>
      <c r="M113" s="310" t="s">
        <v>263</v>
      </c>
      <c r="N113" s="301"/>
      <c r="O113" s="1605"/>
      <c r="P113" s="1193">
        <f>+IF(O110=0,0,"丸太末口 φ")</f>
        <v>0</v>
      </c>
      <c r="Q113" s="1194"/>
      <c r="R113" s="239">
        <f>IF(O110=0,0,+FP113)</f>
        <v>0</v>
      </c>
      <c r="S113" s="1120"/>
      <c r="T113" s="240" t="str">
        <f>IF(AA113=+"","",IF(AND(AA113&lt;=1,AB113&lt;=1,AD113&lt;=1,AE113&lt;=1),"OK!","NO!"))</f>
        <v/>
      </c>
      <c r="U113" s="240">
        <f>IF(W113=0,0,IF(IF(AC113&gt;=AF113,AC113,AF113)&lt;=1,"OK!","NO!"))</f>
        <v>0</v>
      </c>
      <c r="V113" s="827"/>
      <c r="W113" s="159"/>
      <c r="X113" s="205">
        <f>IF(W113=0,0,+CT113)</f>
        <v>0</v>
      </c>
      <c r="Y113" s="205" t="str">
        <f>IF(X113=0,"",ROUND(POWER(W113*X113,2)/(IF(V113=0,(R113/10-6)*(R113/10-3),(V113/10-6)*(V113/10-3))),2))</f>
        <v/>
      </c>
      <c r="Z113" s="206" t="str">
        <f>IF(EM113&gt;=EN113,EM113,EN113)</f>
        <v/>
      </c>
      <c r="AA113" s="206" t="str">
        <f>IF(R113=0,"",ROUNDUP(DE113/DM113,2))</f>
        <v/>
      </c>
      <c r="AB113" s="206" t="str">
        <f>IF(R113=0,"",ROUND(DF113/DT113,2))</f>
        <v/>
      </c>
      <c r="AC113" s="206" t="str">
        <f>IF(W113=0,"",ROUND(DG113/DO113,2))</f>
        <v/>
      </c>
      <c r="AD113" s="206" t="str">
        <f>IF(R113=0,"",ROUNDUP(DH113/DN113,2))</f>
        <v/>
      </c>
      <c r="AE113" s="206" t="str">
        <f>IF(R113=0,"",ROUNDUP(DI113/DZ113,2))</f>
        <v/>
      </c>
      <c r="AF113" s="206" t="str">
        <f>IF(W113=0,"",ROUNDUP(DJ113/DP113,2))</f>
        <v/>
      </c>
      <c r="AG113" s="323"/>
      <c r="AH113" s="324"/>
      <c r="AI113" s="324"/>
      <c r="AJ113" s="324"/>
      <c r="AK113" s="325"/>
      <c r="AL113" s="325"/>
      <c r="AM113" s="589"/>
      <c r="AN113" s="184">
        <f>IF(I112=0,0,+AN110)</f>
        <v>0</v>
      </c>
      <c r="AO113" s="185">
        <f>IF(I112=0,0,+AO112)</f>
        <v>0</v>
      </c>
      <c r="CP113" s="9" t="e">
        <f>ROUNDUP((DC113*I112*100/2*4/3/DQ113),2)</f>
        <v>#N/A</v>
      </c>
      <c r="CQ113" s="9" t="e">
        <f>ROUNDUP((DD113*I112*100/2*4/3/DR113),2)</f>
        <v>#N/A</v>
      </c>
      <c r="CR113" s="23" t="e">
        <f>IF(CP113&gt;=CQ113,CP113,CQ113)</f>
        <v>#N/A</v>
      </c>
      <c r="CS113" s="23" t="e">
        <f>IF(CP113&gt;=CQ113,CP113,CQ113)</f>
        <v>#N/A</v>
      </c>
      <c r="CT113" s="9">
        <f>IF(R113=0,0,ROUNDUP(SQRT(IF(V113=0,(Z113*(R113/10-6)*(R113/10-3)),(Z113*(V113/10-6)*(V113/10-3)))/(W113*W113)),2))</f>
        <v>0</v>
      </c>
      <c r="CU113" s="9"/>
      <c r="CV113" s="23"/>
      <c r="CW113" s="23"/>
      <c r="CY113" s="63"/>
      <c r="CZ113" s="63">
        <f>ROUNDUP(IF(VALUE(RIGHT($G$3,3))=1,DA113*0.7,0),0)</f>
        <v>0</v>
      </c>
      <c r="DA113" s="63" t="e">
        <f>ROUNDUP(IF(VALUE(RIGHT($G$3,4))=1,$I$3*30*F112*100,$I$3*20*F112*100),0)</f>
        <v>#VALUE!</v>
      </c>
      <c r="DB113" s="63"/>
      <c r="DC113" s="78" t="e">
        <f>ROUNDUP((準備!$G$60/100+準備!$D$48/100)*($G112+$H112)/2,2)+IF($M115=0,0,$EQ113)</f>
        <v>#N/A</v>
      </c>
      <c r="DD113" s="78">
        <f>ROUNDUP((準備!$G$60/100+6)*(G112+H112)/2,2)+IF(M115=0,0,EQ113)</f>
        <v>0</v>
      </c>
      <c r="DE113" s="87" t="e">
        <f>ABS(ROUNDUP(($DC113*$I112*100*POWER($CW112,2)-2*($GD111+$EO110*$I110*100*$CW112))/2/($I112*100)/$DK113,1))</f>
        <v>#N/A</v>
      </c>
      <c r="DF113" s="87" t="e">
        <f>ABS(ROUNDUP((5*$DC113*POWER($I112*100,4)-$DC113*POWER($I110*100,2)-24.6528*($GD110+IF(J110=0,0,IF(VALUE(RIGHT($J110,4))=1,$EO111*$I110*100*POWER($I112*100,2),0))))/(384*VLOOKUP(VALUE(RIGHT($O110,4)),許容応力!$B$6:$K$22,10)*100*$DL113*100),2))</f>
        <v>#N/A</v>
      </c>
      <c r="DG113" s="87" t="e">
        <f>ROUND(($DC113*($I112*100-$CW112)+(GD110*I110*100/(I112*100)+IF(J110=0,0,IF(VALUE(RIGHT($J110,4))=1,$EO110*$I110*100/($I112*100),0))))/($Y113*3*2),1)</f>
        <v>#N/A</v>
      </c>
      <c r="DH113" s="87" t="e">
        <f>ABS(ROUNDUP(($DD113*$I112*100*POWER($CW112,2)-2*($GD110+IF(J110=0,0,IF(VALUE(RIGHT($J110,4))=1,$EP110*$I110*100*$CW112,0))))/2/($I112*100)/$DK113,1))</f>
        <v>#DIV/0!</v>
      </c>
      <c r="DI113" s="87" t="e">
        <f>ABS(ROUNDUP((5*$DD113*POWER($I112*100,4)-$DD113*POWER($I110*100,2)-24.6528*($GD110+$EP111*$I110*100*POWER($I112*100,2)))/(384*VLOOKUP(VALUE(RIGHT($O110,4)),許容応力!$B$6:$K$22,10)*100*$DL113*100),2))</f>
        <v>#VALUE!</v>
      </c>
      <c r="DJ113" s="87" t="e">
        <f>ROUND(($DD113*($I112*100-$CW112)+(GD110*I110*100/(I112*100)+IF(J110=0,0,IF(VALUE(RIGHT($J110,4))=1,$EP110*$I110*100/($I112*100),0))))/($Y113*3*2),1)</f>
        <v>#DIV/0!</v>
      </c>
      <c r="DK113" s="63">
        <f>ROUNDDOWN(PI()*POWER($R113/2/10,2)*($R113/10-IF($R113&lt;180,2,6))/4*IF(OR($S113=0,$S113=1),1,$S113),0)</f>
        <v>0</v>
      </c>
      <c r="DL113" s="63">
        <f>ROUNDDOWN(PI()*POWER($R113/2/10,3)*($R113/10-IF($R113&lt;180,0,6))/4*IF(OR($S113=0,$S113=1),1,$S113),0)</f>
        <v>0</v>
      </c>
      <c r="DM113" s="10" t="e">
        <f>IF($DN$6=2,ROUND(VLOOKUP(DV113,許容応力!$L$6:$U$22,7)*1.1/3*100,0),ROUND(VLOOKUP(DV113,許容応力!$L$6:$U$22,7)*1.1/3*1.3*100,0))</f>
        <v>#N/A</v>
      </c>
      <c r="DN113" s="63" t="e">
        <f>ROUND(VLOOKUP(DV113,許容応力!$L$6:$U$22,7)*100*2/3*0.8,0)</f>
        <v>#N/A</v>
      </c>
      <c r="DO113" s="10" t="e">
        <f>IF($DN$6=2,ROUND(VLOOKUP(DV113,許容応力!$L$6:$U$22,8)*1.1/3*100,0),ROUND(VLOOKUP(DV113,許容応力!$L$6:$U$22,8)*1.1/3*1.3*100,0))</f>
        <v>#N/A</v>
      </c>
      <c r="DP113" s="63" t="e">
        <f>ROUND(VLOOKUP(DV113,許容応力!$L$6:$U$22,8)*100*2/3*0.8,0)</f>
        <v>#N/A</v>
      </c>
      <c r="DQ113" s="10" t="e">
        <f>IF($DN$6=2,ROUND(VLOOKUP(DV113,許容応力!$L$6:$U$22,9)*1.1/3*100,0),ROUND(VLOOKUP(DV113,許容応力!$L$6:$U$22,9)*1.1/3*1.3*100,0))</f>
        <v>#N/A</v>
      </c>
      <c r="DR113" s="63" t="e">
        <f>ROUND(VLOOKUP(DV113,許容応力!$L$6:$U$22,9)*100*2/3*0.8,0)</f>
        <v>#N/A</v>
      </c>
      <c r="DS113" s="63">
        <v>600</v>
      </c>
      <c r="DT113" s="63">
        <f>ROUND(I112*100/DS113,2)</f>
        <v>0</v>
      </c>
      <c r="DU113" s="63"/>
      <c r="DV113" s="78">
        <f>+VALUE(RIGHT(O112,3))</f>
        <v>0</v>
      </c>
      <c r="DW113" s="69">
        <f>ROUND(ATAN(E112/10)*180/PI(),4)</f>
        <v>0</v>
      </c>
      <c r="DX113" s="70">
        <f>ROUND(COS(DW113*PI()/180),3)</f>
        <v>1</v>
      </c>
      <c r="DY113" s="63">
        <v>225</v>
      </c>
      <c r="DZ113" s="63">
        <f>ROUND(I112*100/DY113,2)</f>
        <v>0</v>
      </c>
      <c r="EA113" s="63"/>
      <c r="EB113" s="78" t="e">
        <f>ROUNDUP((準備!$G$60/100+準備!$E$48/100)*($G112+$H112)/2,2)+IF(J110=0,0,IF(VALUE(RIGHT($J110,4))=1,$EQ113,0))</f>
        <v>#N/A</v>
      </c>
      <c r="EC113" s="63"/>
      <c r="ED113" s="71">
        <f>IF(I112&lt;6,POWER(R113/10,2)*I112/10000,POWER((R113/10+(ROUNDDOWN(I112,0)-4)/2),2)*I112/10000)</f>
        <v>0</v>
      </c>
      <c r="EE113" s="63">
        <v>200</v>
      </c>
      <c r="EF113" s="84">
        <f>ROUND(ED113*EE113/100,0)</f>
        <v>0</v>
      </c>
      <c r="EG113" s="63" t="e">
        <f>ROUND((DC113*I112*100/2+EF113)/AK113,1)</f>
        <v>#N/A</v>
      </c>
      <c r="EH113" s="63" t="e">
        <f>ROUND(EG113/DQ113,2)</f>
        <v>#N/A</v>
      </c>
      <c r="EI113" s="63" t="e">
        <f>ROUND((DD113*I112*100/2+EF113)/AK113,1)</f>
        <v>#DIV/0!</v>
      </c>
      <c r="EJ113" s="63" t="e">
        <f>ROUND(EI113/DR113,2)</f>
        <v>#DIV/0!</v>
      </c>
      <c r="EK113" s="63" t="e">
        <f>ROUNDUP(IF(F112&gt;=F113,F112,F113)*EC113/#REF!,2)</f>
        <v>#VALUE!</v>
      </c>
      <c r="EL113" s="63" t="e">
        <f>ROUNDUP(IF(F112&gt;=F113,F112,F113)*ED113/#REF!,2)</f>
        <v>#VALUE!</v>
      </c>
      <c r="EM113" s="87" t="str">
        <f>IF(E112=0,"",ROUND(DC113*I112*100/2/DO113,1))</f>
        <v/>
      </c>
      <c r="EN113" s="87" t="str">
        <f>IF(E112=0,"",ROUND(DD113*I112*100/2/DP113,1))</f>
        <v/>
      </c>
      <c r="EO113" s="63">
        <f>IF(L110=0,0,ROUNDUP((準備!$G$57/DX113+IF(AND(VALUE(RIGHT($G$3,4))=1,$T$3=2),CZ113/DX113*1.2,CZ113/DX113))*(K110+K111)/2*(L110+L111)/2,0))</f>
        <v>0</v>
      </c>
      <c r="EP113" s="63">
        <f>IF(L110=0,0,ROUNDUP((準備!$G$57/DX113+IF(AND(VALUE(RIGHT($G$3,4))=1,$T$3=2),DA113/DX113*1.2,DA113/DX113))*(K110+K111)/2*(L110+L111)/2,0))</f>
        <v>0</v>
      </c>
      <c r="EQ113" s="63">
        <f>+EQ112</f>
        <v>0</v>
      </c>
      <c r="ER113" s="63" t="e">
        <f>IF(VALUE(RIGHT(J112,4))=2,0,ROUNDUP(N114*100*N115*100/(I112*100)*EO113/DK113,1))</f>
        <v>#VALUE!</v>
      </c>
      <c r="ES113" s="63" t="e">
        <f>IF(FC113=2,0,ROUNDUP(N284*N115/I112*100*EP113/DK113,1))</f>
        <v>#VALUE!</v>
      </c>
      <c r="ET113" s="63" t="e">
        <f>ROUNDUP(EO113*IF(N114&gt;=N115,N114*100,N115*100)*SQRT(POWER(ABS(POWER(N114,2)-POWER(N115,2)),3)/(9*SQRT(3)*EV113*DL113*I112)),2)</f>
        <v>#N/A</v>
      </c>
      <c r="EU113" s="63" t="e">
        <f>ROUNDUP(EP113*IF(N114&gt;=N115,N114*100,N115*100)*SQRT(POWER(ABS(POWER(N114,2)-POWER(N115,2)),3)/(9*SQRT(3)*EV113*DL113*I112)),2)</f>
        <v>#N/A</v>
      </c>
      <c r="EV113" s="63" t="e">
        <f>+VLOOKUP(DV113,許容応力!$L$6:$V$22,10)*100</f>
        <v>#N/A</v>
      </c>
      <c r="EW113" s="63" t="e">
        <f>ROUNDUP(IF(N114&gt;=N115,N114,N115)*EO113/I112,0)</f>
        <v>#DIV/0!</v>
      </c>
      <c r="EX113" s="63" t="e">
        <f>ROUNDUP(IF(N114&gt;=N115,N114,N115)*EP113/I112,0)</f>
        <v>#DIV/0!</v>
      </c>
      <c r="EY113" s="63" t="e">
        <f>ROUND(EW113*100/AK113,1)</f>
        <v>#DIV/0!</v>
      </c>
      <c r="EZ113" s="63" t="e">
        <f>ROUND(EY113/DQ113,2)</f>
        <v>#DIV/0!</v>
      </c>
      <c r="FA113" s="63" t="e">
        <f>ROUND(EX113*100/AK113,1)</f>
        <v>#DIV/0!</v>
      </c>
      <c r="FB113" s="63" t="e">
        <f>ROUND(FA113/DR113,2)</f>
        <v>#DIV/0!</v>
      </c>
      <c r="FC113" s="63" t="e">
        <f>+VALUE(RIGHT(J110,3))</f>
        <v>#VALUE!</v>
      </c>
      <c r="FD113" s="63">
        <f>IF($DN$6=2,400,200)</f>
        <v>200</v>
      </c>
      <c r="FE113" s="63">
        <f>ROUND(I112*100/FD113,2)</f>
        <v>0</v>
      </c>
      <c r="FF113" s="78">
        <v>200</v>
      </c>
      <c r="FG113" s="63">
        <f>ROUND(I112*100/FF113,2)</f>
        <v>0</v>
      </c>
      <c r="FH113" s="78" t="e">
        <f>ROUND(ET113/FE113,1)</f>
        <v>#N/A</v>
      </c>
      <c r="FI113" s="78" t="e">
        <f>ROUND(EU113/FG113,1)</f>
        <v>#N/A</v>
      </c>
      <c r="FJ113" s="78"/>
      <c r="FK113" s="63" t="e">
        <f>IF(FR113&lt;42,60,VLOOKUP(FR113,$CR$301:$CS$344,2))</f>
        <v>#N/A</v>
      </c>
      <c r="FL113" s="63" t="e">
        <f>VLOOKUP(FS113,$CT$301:$CU$344,2)</f>
        <v>#N/A</v>
      </c>
      <c r="FN113" s="63" t="e">
        <f>IF(FU113&lt;42,60,VLOOKUP(FU113,$CR$301:$CS$344,2))</f>
        <v>#DIV/0!</v>
      </c>
      <c r="FO113" s="63" t="e">
        <f>VLOOKUP(FV113,$CT$301:$CU$344,2)</f>
        <v>#VALUE!</v>
      </c>
      <c r="FP113" s="155" t="e">
        <f>+MAX(FK113:FO113)</f>
        <v>#N/A</v>
      </c>
      <c r="FQ113" s="2"/>
      <c r="FR113" s="87" t="e">
        <f>ABS(ROUNDUP(($DC113*$I112*100*POWER($CW112,2)-2*($GD111+$EO110*$I110*100*$CW112))/2/($I112*100)/$DM113,1))</f>
        <v>#N/A</v>
      </c>
      <c r="FS113" s="87" t="e">
        <f>ABS(ROUNDUP((5*$DC113*POWER($I112*100,4)-$DC113*POWER($I110*100,2)-24.6528*($GD110+IF(J110=0,0,IF(VALUE(RIGHT($J110,4))=1,$EO111*$I110*100*POWER($I112*100,2),0))))/(384*VLOOKUP(VALUE(RIGHT($O110,4)),許容応力!$B$6:$K$22,10)*100*$DT113),2))</f>
        <v>#N/A</v>
      </c>
      <c r="FT113" s="87"/>
      <c r="FU113" s="87" t="e">
        <f>ABS(ROUNDUP(($DD113*$I112*100*POWER($CW112,2)-2*($GD110+IF(J110=0,0,IF(VALUE(RIGHT($J110,4))=1,$EP110*$I110*100*$CW112,0))))/2/($I112*100)/$DN113,1))</f>
        <v>#DIV/0!</v>
      </c>
      <c r="FV113" s="87" t="e">
        <f>ABS(ROUNDUP((5*$DD113*POWER($I112*100,4)-$DD113*POWER($I110*100,2)-24.6528*($GD110+$EP111*$I110*100*POWER($I112*100,2)))/(384*VLOOKUP(VALUE(RIGHT($O110,4)),許容応力!$B$6:$K$22,10)*100*$DZ113),2))</f>
        <v>#VALUE!</v>
      </c>
      <c r="FW113" s="2"/>
      <c r="FX113" s="2"/>
    </row>
    <row r="114" spans="2:186" ht="15.95" customHeight="1" x14ac:dyDescent="0.15">
      <c r="B114" s="1514"/>
      <c r="C114" s="1368"/>
      <c r="D114" s="298"/>
      <c r="E114" s="176"/>
      <c r="F114" s="313"/>
      <c r="G114" s="1382" t="s">
        <v>714</v>
      </c>
      <c r="H114" s="1594" t="s">
        <v>733</v>
      </c>
      <c r="I114" s="233" t="s">
        <v>845</v>
      </c>
      <c r="J114" s="1145"/>
      <c r="K114" s="1594" t="s">
        <v>719</v>
      </c>
      <c r="L114" s="1606"/>
      <c r="M114" s="311" t="s">
        <v>254</v>
      </c>
      <c r="N114" s="312"/>
      <c r="O114" s="302"/>
      <c r="P114" s="302"/>
      <c r="Q114" s="302"/>
      <c r="R114" s="302"/>
      <c r="S114" s="302"/>
      <c r="T114" s="302"/>
      <c r="U114" s="302"/>
      <c r="V114" s="302"/>
      <c r="W114" s="302"/>
      <c r="X114" s="302"/>
      <c r="Y114" s="302"/>
      <c r="Z114" s="302"/>
      <c r="AA114" s="302"/>
      <c r="AB114" s="302"/>
      <c r="AC114" s="302"/>
      <c r="AD114" s="302"/>
      <c r="AE114" s="302"/>
      <c r="AF114" s="176"/>
      <c r="AG114" s="302"/>
      <c r="AH114" s="302"/>
      <c r="AI114" s="302"/>
      <c r="AJ114" s="302"/>
      <c r="AK114" s="302"/>
      <c r="AL114" s="302"/>
      <c r="AM114" s="181"/>
      <c r="AN114" s="662"/>
      <c r="AO114" s="379"/>
      <c r="CP114" s="9"/>
      <c r="CQ114" s="9"/>
      <c r="CR114" s="23"/>
      <c r="CS114" s="23"/>
      <c r="CT114" s="9"/>
      <c r="CU114" s="9"/>
      <c r="CV114" s="23"/>
      <c r="CZ114" s="3" t="e">
        <f>+#REF!</f>
        <v>#REF!</v>
      </c>
      <c r="DA114" s="3" t="e">
        <f>+#REF!</f>
        <v>#REF!</v>
      </c>
      <c r="DB114" s="3" t="e">
        <f>+#REF!</f>
        <v>#REF!</v>
      </c>
      <c r="DC114" s="3" t="e">
        <f>+#REF!</f>
        <v>#REF!</v>
      </c>
      <c r="DD114" s="3" t="e">
        <f>+#REF!</f>
        <v>#REF!</v>
      </c>
      <c r="DE114" s="3" t="e">
        <f>+#REF!</f>
        <v>#REF!</v>
      </c>
      <c r="DF114" s="3" t="e">
        <f>+#REF!</f>
        <v>#REF!</v>
      </c>
      <c r="DG114" s="3" t="e">
        <f>+#REF!</f>
        <v>#REF!</v>
      </c>
      <c r="DH114" s="3" t="e">
        <f>+#REF!</f>
        <v>#REF!</v>
      </c>
      <c r="DI114" s="3" t="e">
        <f>+#REF!</f>
        <v>#REF!</v>
      </c>
      <c r="DJ114" s="3" t="e">
        <f>+#REF!</f>
        <v>#REF!</v>
      </c>
      <c r="DK114" s="3" t="e">
        <f>+#REF!</f>
        <v>#REF!</v>
      </c>
      <c r="DL114" s="3" t="e">
        <f>+#REF!</f>
        <v>#REF!</v>
      </c>
      <c r="DM114" s="3" t="e">
        <f>+#REF!</f>
        <v>#REF!</v>
      </c>
      <c r="DN114" s="3" t="e">
        <f>+#REF!</f>
        <v>#REF!</v>
      </c>
      <c r="DO114" s="3" t="e">
        <f>+#REF!</f>
        <v>#REF!</v>
      </c>
      <c r="DP114" s="3" t="e">
        <f>+#REF!</f>
        <v>#REF!</v>
      </c>
      <c r="DQ114" s="3" t="e">
        <f>+#REF!</f>
        <v>#REF!</v>
      </c>
      <c r="DR114" s="3" t="e">
        <f>+#REF!</f>
        <v>#REF!</v>
      </c>
      <c r="DS114" s="3" t="e">
        <f>+#REF!</f>
        <v>#REF!</v>
      </c>
      <c r="DT114" s="3" t="e">
        <f>+#REF!</f>
        <v>#REF!</v>
      </c>
      <c r="DU114" s="3" t="e">
        <f>+#REF!</f>
        <v>#REF!</v>
      </c>
      <c r="DV114" s="3" t="e">
        <f>+#REF!</f>
        <v>#REF!</v>
      </c>
      <c r="DW114" s="3" t="e">
        <f>+#REF!</f>
        <v>#REF!</v>
      </c>
      <c r="DX114" s="3" t="e">
        <f>+#REF!</f>
        <v>#REF!</v>
      </c>
      <c r="DY114" s="3" t="e">
        <f>+#REF!</f>
        <v>#REF!</v>
      </c>
      <c r="DZ114" s="3" t="e">
        <f>+#REF!</f>
        <v>#REF!</v>
      </c>
      <c r="EA114" s="3" t="e">
        <f>+#REF!</f>
        <v>#REF!</v>
      </c>
      <c r="EB114" s="3" t="e">
        <f>+#REF!</f>
        <v>#REF!</v>
      </c>
      <c r="EC114" s="3" t="e">
        <f>+#REF!</f>
        <v>#REF!</v>
      </c>
      <c r="ED114" s="3" t="e">
        <f>+#REF!</f>
        <v>#REF!</v>
      </c>
      <c r="EE114" s="3" t="e">
        <f>+#REF!</f>
        <v>#REF!</v>
      </c>
      <c r="EF114" s="3" t="e">
        <f>+#REF!</f>
        <v>#REF!</v>
      </c>
      <c r="EG114" s="3" t="e">
        <f>+#REF!</f>
        <v>#REF!</v>
      </c>
      <c r="EH114" s="3" t="e">
        <f>+#REF!</f>
        <v>#REF!</v>
      </c>
      <c r="EI114" s="3" t="e">
        <f>+#REF!</f>
        <v>#REF!</v>
      </c>
      <c r="EJ114" s="3" t="e">
        <f>+#REF!</f>
        <v>#REF!</v>
      </c>
      <c r="EK114" s="3" t="e">
        <f>+#REF!</f>
        <v>#REF!</v>
      </c>
      <c r="EL114" s="3" t="e">
        <f>+#REF!</f>
        <v>#REF!</v>
      </c>
      <c r="EM114" s="3" t="e">
        <f>+#REF!</f>
        <v>#REF!</v>
      </c>
      <c r="EN114" s="3" t="e">
        <f>+#REF!</f>
        <v>#REF!</v>
      </c>
      <c r="EO114" s="3" t="e">
        <f>+#REF!</f>
        <v>#REF!</v>
      </c>
      <c r="EP114" s="3" t="e">
        <f>+#REF!</f>
        <v>#REF!</v>
      </c>
      <c r="EQ114" s="3" t="e">
        <f>+#REF!</f>
        <v>#REF!</v>
      </c>
      <c r="ER114" s="3" t="e">
        <f>+#REF!</f>
        <v>#REF!</v>
      </c>
      <c r="ES114" s="3" t="e">
        <f>+#REF!</f>
        <v>#REF!</v>
      </c>
      <c r="ET114" s="3" t="e">
        <f>+#REF!</f>
        <v>#REF!</v>
      </c>
      <c r="EU114" s="3" t="e">
        <f>+#REF!</f>
        <v>#REF!</v>
      </c>
      <c r="EV114" s="3" t="e">
        <f>+#REF!</f>
        <v>#REF!</v>
      </c>
      <c r="EW114" s="3" t="e">
        <f>+#REF!</f>
        <v>#REF!</v>
      </c>
      <c r="EX114" s="3" t="e">
        <f>+#REF!</f>
        <v>#REF!</v>
      </c>
      <c r="EY114" s="3" t="e">
        <f>+#REF!</f>
        <v>#REF!</v>
      </c>
      <c r="EZ114" s="3" t="e">
        <f>+#REF!</f>
        <v>#REF!</v>
      </c>
      <c r="FA114" s="3" t="e">
        <f>+#REF!</f>
        <v>#REF!</v>
      </c>
      <c r="FB114" s="3" t="e">
        <f>+#REF!</f>
        <v>#REF!</v>
      </c>
      <c r="FC114" s="3" t="e">
        <f>+#REF!</f>
        <v>#REF!</v>
      </c>
      <c r="FD114" s="3" t="e">
        <f>+#REF!</f>
        <v>#REF!</v>
      </c>
      <c r="FE114" s="3" t="e">
        <f>+#REF!</f>
        <v>#REF!</v>
      </c>
      <c r="FF114" s="3" t="e">
        <f>+#REF!</f>
        <v>#REF!</v>
      </c>
      <c r="FG114" s="3" t="e">
        <f>+#REF!</f>
        <v>#REF!</v>
      </c>
      <c r="FH114" s="3" t="e">
        <f>+#REF!</f>
        <v>#REF!</v>
      </c>
      <c r="FI114" s="3" t="e">
        <f>+#REF!</f>
        <v>#REF!</v>
      </c>
    </row>
    <row r="115" spans="2:186" ht="15.95" customHeight="1" thickBot="1" x14ac:dyDescent="0.2">
      <c r="B115" s="1514"/>
      <c r="C115" s="1500"/>
      <c r="D115" s="299"/>
      <c r="E115" s="225"/>
      <c r="F115" s="297"/>
      <c r="G115" s="1176"/>
      <c r="H115" s="1595"/>
      <c r="I115" s="232" t="s">
        <v>846</v>
      </c>
      <c r="J115" s="133"/>
      <c r="K115" s="1595"/>
      <c r="L115" s="1607"/>
      <c r="M115" s="307" t="s">
        <v>255</v>
      </c>
      <c r="N115" s="308"/>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175"/>
      <c r="AN115" s="663"/>
      <c r="AO115" s="175"/>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P115" s="9"/>
      <c r="CQ115" s="9"/>
      <c r="CR115" s="23"/>
      <c r="CS115" s="23"/>
      <c r="CT115" s="9"/>
      <c r="CU115" s="9"/>
      <c r="CV115" s="23"/>
      <c r="CZ115" s="3" t="e">
        <f>+#REF!</f>
        <v>#REF!</v>
      </c>
      <c r="DA115" s="3" t="e">
        <f>+#REF!</f>
        <v>#REF!</v>
      </c>
      <c r="DB115" s="3" t="e">
        <f>+#REF!</f>
        <v>#REF!</v>
      </c>
      <c r="DC115" s="3" t="e">
        <f>+#REF!</f>
        <v>#REF!</v>
      </c>
      <c r="DD115" s="3" t="e">
        <f>+#REF!</f>
        <v>#REF!</v>
      </c>
      <c r="DE115" s="3" t="e">
        <f>+#REF!</f>
        <v>#REF!</v>
      </c>
      <c r="DF115" s="3" t="e">
        <f>+#REF!</f>
        <v>#REF!</v>
      </c>
      <c r="DG115" s="3" t="e">
        <f>+#REF!</f>
        <v>#REF!</v>
      </c>
      <c r="DH115" s="3" t="e">
        <f>+#REF!</f>
        <v>#REF!</v>
      </c>
      <c r="DI115" s="3" t="e">
        <f>+#REF!</f>
        <v>#REF!</v>
      </c>
      <c r="DJ115" s="3" t="e">
        <f>+#REF!</f>
        <v>#REF!</v>
      </c>
      <c r="DK115" s="3" t="e">
        <f>+#REF!</f>
        <v>#REF!</v>
      </c>
      <c r="DL115" s="3" t="e">
        <f>+#REF!</f>
        <v>#REF!</v>
      </c>
      <c r="DM115" s="3" t="e">
        <f>+#REF!</f>
        <v>#REF!</v>
      </c>
      <c r="DN115" s="3" t="e">
        <f>+#REF!</f>
        <v>#REF!</v>
      </c>
      <c r="DO115" s="10" t="e">
        <f>IF($DN$6=2,ROUND(VLOOKUP(DV115,許容応力!$L$6:$U$22,8)*1.1/3*100,0),ROUND(VLOOKUP(DV115,許容応力!$L$6:$U$22,8)*1.1/3*1.3*100,0))</f>
        <v>#REF!</v>
      </c>
      <c r="DP115" s="63" t="e">
        <f>ROUND(VLOOKUP(DV115,許容応力!$L$6:$U$22,8)*100*2/3*0.8,0)</f>
        <v>#REF!</v>
      </c>
      <c r="DQ115" s="10" t="e">
        <f>IF($DN$6=2,ROUND(VLOOKUP(DV115,許容応力!$L$6:$U$22,9)*1.1/3*100,0),ROUND(VLOOKUP(DV115,許容応力!$L$6:$U$22,9)*1.1/3*1.3*100,0))</f>
        <v>#REF!</v>
      </c>
      <c r="DR115" s="63" t="e">
        <f>ROUND(VLOOKUP(DV115,許容応力!$L$6:$U$22,9)*100*2/3*0.8,0)</f>
        <v>#REF!</v>
      </c>
      <c r="DS115" s="3" t="e">
        <f>+#REF!</f>
        <v>#REF!</v>
      </c>
      <c r="DT115" s="3" t="e">
        <f>+#REF!</f>
        <v>#REF!</v>
      </c>
      <c r="DU115" s="3" t="e">
        <f>+#REF!</f>
        <v>#REF!</v>
      </c>
      <c r="DV115" s="3" t="e">
        <f>+#REF!</f>
        <v>#REF!</v>
      </c>
      <c r="DW115" s="3" t="e">
        <f>+#REF!</f>
        <v>#REF!</v>
      </c>
      <c r="DX115" s="3" t="e">
        <f>+#REF!</f>
        <v>#REF!</v>
      </c>
      <c r="DY115" s="3" t="e">
        <f>+#REF!</f>
        <v>#REF!</v>
      </c>
      <c r="DZ115" s="3" t="e">
        <f>+#REF!</f>
        <v>#REF!</v>
      </c>
      <c r="EA115" s="3" t="e">
        <f>+#REF!</f>
        <v>#REF!</v>
      </c>
      <c r="EB115" s="3" t="e">
        <f>+#REF!</f>
        <v>#REF!</v>
      </c>
      <c r="EC115" s="3" t="e">
        <f>+#REF!</f>
        <v>#REF!</v>
      </c>
      <c r="ED115" s="3" t="e">
        <f>+#REF!</f>
        <v>#REF!</v>
      </c>
      <c r="EE115" s="3" t="e">
        <f>+#REF!</f>
        <v>#REF!</v>
      </c>
      <c r="EF115" s="3" t="e">
        <f>+#REF!</f>
        <v>#REF!</v>
      </c>
      <c r="EG115" s="3" t="e">
        <f>+#REF!</f>
        <v>#REF!</v>
      </c>
      <c r="EH115" s="3" t="e">
        <f>+#REF!</f>
        <v>#REF!</v>
      </c>
      <c r="EI115" s="3" t="e">
        <f>+#REF!</f>
        <v>#REF!</v>
      </c>
      <c r="EJ115" s="3" t="e">
        <f>+#REF!</f>
        <v>#REF!</v>
      </c>
      <c r="EK115" s="3" t="e">
        <f>+#REF!</f>
        <v>#REF!</v>
      </c>
      <c r="EL115" s="3" t="e">
        <f>+#REF!</f>
        <v>#REF!</v>
      </c>
      <c r="EM115" s="3" t="e">
        <f>+#REF!</f>
        <v>#REF!</v>
      </c>
      <c r="EN115" s="3" t="e">
        <f>+#REF!</f>
        <v>#REF!</v>
      </c>
      <c r="EO115" s="3" t="e">
        <f>+#REF!</f>
        <v>#REF!</v>
      </c>
      <c r="EP115" s="3" t="e">
        <f>+#REF!</f>
        <v>#REF!</v>
      </c>
      <c r="EQ115" s="3" t="e">
        <f>+#REF!</f>
        <v>#REF!</v>
      </c>
      <c r="ER115" s="3" t="e">
        <f>+#REF!</f>
        <v>#REF!</v>
      </c>
      <c r="ES115" s="3" t="e">
        <f>+#REF!</f>
        <v>#REF!</v>
      </c>
      <c r="ET115" s="3" t="e">
        <f>+#REF!</f>
        <v>#REF!</v>
      </c>
      <c r="EU115" s="3" t="e">
        <f>+#REF!</f>
        <v>#REF!</v>
      </c>
      <c r="EV115" s="63" t="e">
        <f>+VLOOKUP(DV115,許容応力!$L$6:$V$22,10)*100</f>
        <v>#REF!</v>
      </c>
      <c r="EW115" s="3" t="e">
        <f>+#REF!</f>
        <v>#REF!</v>
      </c>
      <c r="EX115" s="3" t="e">
        <f>+#REF!</f>
        <v>#REF!</v>
      </c>
      <c r="EY115" s="3" t="e">
        <f>+#REF!</f>
        <v>#REF!</v>
      </c>
      <c r="EZ115" s="3" t="e">
        <f>+#REF!</f>
        <v>#REF!</v>
      </c>
      <c r="FA115" s="3" t="e">
        <f>+#REF!</f>
        <v>#REF!</v>
      </c>
      <c r="FB115" s="3" t="e">
        <f>+#REF!</f>
        <v>#REF!</v>
      </c>
      <c r="FC115" s="3" t="e">
        <f>+#REF!</f>
        <v>#REF!</v>
      </c>
      <c r="FD115" s="3" t="e">
        <f>+#REF!</f>
        <v>#REF!</v>
      </c>
      <c r="FE115" s="3" t="e">
        <f>+#REF!</f>
        <v>#REF!</v>
      </c>
      <c r="FF115" s="3" t="e">
        <f>+#REF!</f>
        <v>#REF!</v>
      </c>
      <c r="FG115" s="3" t="e">
        <f>+#REF!</f>
        <v>#REF!</v>
      </c>
      <c r="FH115" s="3" t="e">
        <f>+#REF!</f>
        <v>#REF!</v>
      </c>
      <c r="FI115" s="3" t="e">
        <f>+#REF!</f>
        <v>#REF!</v>
      </c>
    </row>
    <row r="116" spans="2:186" ht="15.95" customHeight="1" thickBot="1" x14ac:dyDescent="0.2">
      <c r="B116" s="1514"/>
      <c r="C116" s="1498" t="s">
        <v>849</v>
      </c>
      <c r="D116" s="1501" t="s">
        <v>714</v>
      </c>
      <c r="E116" s="296"/>
      <c r="F116" s="572" t="str">
        <f>IF(E116=0,"",ROUND(SQRT(COS(DW116*1.5*PI()/180)),3))</f>
        <v/>
      </c>
      <c r="G116" s="1358"/>
      <c r="H116" s="1358"/>
      <c r="I116" s="1358"/>
      <c r="J116" s="1608"/>
      <c r="K116" s="131"/>
      <c r="L116" s="132"/>
      <c r="M116" s="314" t="s">
        <v>259</v>
      </c>
      <c r="N116" s="1146"/>
      <c r="O116" s="1569"/>
      <c r="P116" s="1125"/>
      <c r="Q116" s="197">
        <f>+IF(P116=0,0,"×")</f>
        <v>0</v>
      </c>
      <c r="R116" s="245">
        <f>IF(P116=0,0,+FP116)</f>
        <v>0</v>
      </c>
      <c r="S116" s="1123"/>
      <c r="T116" s="246" t="str">
        <f>IF(AA116=+"","",IF(AND(AA116&lt;=1,AB116&lt;=1,AD116&lt;=1,AE116&lt;=1),"OK!","NO!"))</f>
        <v/>
      </c>
      <c r="U116" s="246">
        <f>IF(W116=0,0,IF(IF(AC116&gt;=AF116,AC116,AF116)&lt;=1,"OK!","NO!"))</f>
        <v>0</v>
      </c>
      <c r="V116" s="826"/>
      <c r="W116" s="161"/>
      <c r="X116" s="202">
        <f>IF(W116=0,0,+CT116)</f>
        <v>0</v>
      </c>
      <c r="Y116" s="202">
        <f>IF(X116=0,0,ROUND(POWER(W116*X116,2)/(P116/10*IF(V116=0,R116/10,V116/10)),2))</f>
        <v>0</v>
      </c>
      <c r="Z116" s="203" t="str">
        <f>IF(EM116&gt;=EN116,EM116,EN116)</f>
        <v/>
      </c>
      <c r="AA116" s="203" t="str">
        <f>IF(R116=0,"",ROUNDUP(DE116/DM116,2))</f>
        <v/>
      </c>
      <c r="AB116" s="203" t="str">
        <f>IF(R116=0,"",ROUND(DF116/DT116,2))</f>
        <v/>
      </c>
      <c r="AC116" s="203" t="str">
        <f>IF(W116=0,"",ROUND(DG116/DO116,2))</f>
        <v/>
      </c>
      <c r="AD116" s="203" t="str">
        <f>IF(R116=0,"",ROUNDUP(DH116/DN116,2))</f>
        <v/>
      </c>
      <c r="AE116" s="203" t="str">
        <f>IF(R116=0,"",ROUNDUP(DI116/DZ116,2))</f>
        <v/>
      </c>
      <c r="AF116" s="203" t="str">
        <f>IF(W116=0,"",ROUNDUP(DJ116/DP116,2))</f>
        <v/>
      </c>
      <c r="AG116" s="315"/>
      <c r="AH116" s="316"/>
      <c r="AI116" s="315"/>
      <c r="AJ116" s="315"/>
      <c r="AK116" s="202">
        <f>IF(AH116=0,0,ROUND(AG116*AH116+AI116*AJ116,2))</f>
        <v>0</v>
      </c>
      <c r="AL116" s="202" t="str">
        <f>IF(AH116=0,"",IF(EH116&gt;=EJ116,EH116+EZ116,EJ116+FB116))</f>
        <v/>
      </c>
      <c r="AM116" s="250" t="str">
        <f>IF(AL116=+"","",IF(AL116&lt;=1,"OK!","NO!"))</f>
        <v/>
      </c>
      <c r="AN116" s="182">
        <f>+IF(I116=0,0,"1/")</f>
        <v>0</v>
      </c>
      <c r="AO116" s="293">
        <f>IF(I116=0,0,+DS116)</f>
        <v>0</v>
      </c>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9" t="e">
        <f>ROUNDUP((DC116*I116*100/2*3/2/DQ116)+GD116/DQ116+IF(J116=0,0,IF(VALUE(RIGHT(J116,4))=1,EO116/DQ116,0)),2)</f>
        <v>#VALUE!</v>
      </c>
      <c r="CQ116" s="9" t="e">
        <f>ROUNDUP((DD116*I116*100/2*3/2/DR116)+GD116/DR116+IF(J116=0,0,IF(VALUE(RIGHT(J116,4))=1,EP116/DR116,0)),2)</f>
        <v>#VALUE!</v>
      </c>
      <c r="CR116" s="23" t="e">
        <f>IF(CP116&gt;=CQ116,CP116,CQ116)</f>
        <v>#VALUE!</v>
      </c>
      <c r="CS116" s="23" t="e">
        <f>IF(CP116&gt;=CQ116,CP116,CQ116)</f>
        <v>#VALUE!</v>
      </c>
      <c r="CT116" s="9">
        <f>IF(R116=0,0,ROUNDUP(SQRT((Z116*P116/10*IF(V116=0,R116/10,V116/10))/(W116*W116)),2))</f>
        <v>0</v>
      </c>
      <c r="CU116" s="9"/>
      <c r="CV116" s="23"/>
      <c r="CW116" s="23" t="s">
        <v>717</v>
      </c>
      <c r="CX116" s="3" t="e">
        <f>VLOOKUP(VALUE(RIGHT(O116,4)),許容応力!$B$6:$K$22,10)</f>
        <v>#VALUE!</v>
      </c>
      <c r="CY116" s="63"/>
      <c r="CZ116" s="87">
        <f>ROUNDUP(IF(VALUE(RIGHT($G$3,3))=1,DA116*0.7,0),0)</f>
        <v>0</v>
      </c>
      <c r="DA116" s="87" t="e">
        <f>ROUNDUP(IF(VALUE(RIGHT($G$3,4))=1,$I$3*30*F116*100,$I$3*20*F116*100),0)</f>
        <v>#VALUE!</v>
      </c>
      <c r="DB116" s="87"/>
      <c r="DC116" s="87" t="e">
        <f>ROUNDUP(IF(VALUE(RIGHT($F117,4))=1,(準備!$G$60/100+準備!$D$48/100),(準備!$G$15/100+準備!$D$48/100+IF(N117=0,CZ116/100,0)))*($G116+$H116)/2,2)+IF($N117=0,0,$EQ116)</f>
        <v>#VALUE!</v>
      </c>
      <c r="DD116" s="87" t="e">
        <f>ROUNDUP(IF(VALUE(RIGHT($F117,4))=1,(準備!$G$60/100+6),(準備!$G$15/100+6+$DA116/100))*($G116+$H116)/2,2)+IF($N117=0,0,EQ116)</f>
        <v>#VALUE!</v>
      </c>
      <c r="DE116" s="87" t="e">
        <f>ROUNDUP($I116*100*($DC116*$I116*100+2*($GD116+IF(J116=0,0,IF(VALUE(RIGHT($J116,4))=1,$EO116,0))))/2/$DK116,1)</f>
        <v>#VALUE!</v>
      </c>
      <c r="DF116" s="87" t="e">
        <f>ABS(ROUNDUP((3*$DC116*POWER($I116*100,4)+$DC116*$I116*100*$I118*100*(4*POWER($I116*100,2)-POWER($I118*100,2))+8*($GD116+IF(J116=0,0,IF(VALUE(RIGHT($J116,4))=1,$EO116*POWER($I116*100,2)*($I116*100+$I118*100),0))))/(24*$CX116*$DL116*100),2))</f>
        <v>#VALUE!</v>
      </c>
      <c r="DG116" s="87" t="e">
        <f>ROUND(($DC116*$I116*100+(GD116+IF(J116=0,0,IF(VALUE(RIGHT($J116,4))=1,$EO116,0))))/($Y116*3*2),1)</f>
        <v>#VALUE!</v>
      </c>
      <c r="DH116" s="87" t="e">
        <f>ROUNDUP($I116*100*($DD116*$I116*100+2*($GD116+IF(J116=0,0,IF(VALUE(RIGHT($J116,4))=1,$EP116,0))))/2/$DK116,1)</f>
        <v>#VALUE!</v>
      </c>
      <c r="DI116" s="87" t="e">
        <f>ABS(ROUNDUP((3*$DD116*POWER($I116*100,4)+$DD116*$I116*100*$I118*100*(4*POWER($I116*100,2)-POWER($I118*100,2))+8*($GD116+IF(J116=0,0,IF(VALUE(RIGHT($J116,4))=1,$EP116*POWER($I116*100,2)*($I116*100+$I118*100),0))))/(24*$CX116*$DL116*100),2))</f>
        <v>#VALUE!</v>
      </c>
      <c r="DJ116" s="87" t="e">
        <f>ROUND(($DD116*$I116*100+GD116+IF(J116=0,0,IF(VALUE(RIGHT($J116,4))=1,$EP116,0)))/($Y116*3*2),1)</f>
        <v>#VALUE!</v>
      </c>
      <c r="DK116" s="87">
        <f>ROUNDDOWN($P116/10*POWER($R116/10,2)/6*IF(OR($S116=0,$S116=1),1,$S116),0)</f>
        <v>0</v>
      </c>
      <c r="DL116" s="87">
        <f>ROUNDDOWN($P116/10*POWER($R116/10,3)/12*IF(OR($S116=0,$S$98=1),1,$S116),0)</f>
        <v>0</v>
      </c>
      <c r="DM116" s="88" t="e">
        <f>IF($DN$6=2,ROUND(VLOOKUP(DV116,許容応力!$B$6:$K$22,7)*1.1/3*100,0),ROUND(VLOOKUP(DV116,許容応力!$B$6:$K$22,7)*1.1/3*1.3*100,0))</f>
        <v>#VALUE!</v>
      </c>
      <c r="DN116" s="87" t="e">
        <f>ROUND(VLOOKUP(DV116,許容応力!$B$6:$K$22,7)*100*2/3*0.8,0)</f>
        <v>#VALUE!</v>
      </c>
      <c r="DO116" s="88" t="e">
        <f>IF($DN$6=2,ROUND(VLOOKUP(DV116,許容応力!$B$6:$K$22,8)*1.1/3*100,0),ROUND(VLOOKUP(DV116,許容応力!$B$6:$K$22,8)*1.1/3*1.3*100,0))</f>
        <v>#VALUE!</v>
      </c>
      <c r="DP116" s="87" t="e">
        <f>ROUND(VLOOKUP(DV116,許容応力!$B$6:$K$22,8)*100*2/3*0.8,0)</f>
        <v>#VALUE!</v>
      </c>
      <c r="DQ116" s="88" t="e">
        <f>IF($DN$6=2,ROUND(VLOOKUP(DV116,許容応力!$B$6:$K$22,9)*1.1/3*100,0),ROUND(VLOOKUP(DV116,許容応力!$B$6:$K$22,9)*1.1/3*100*1.3,0))</f>
        <v>#VALUE!</v>
      </c>
      <c r="DR116" s="87" t="e">
        <f>ROUND(VLOOKUP(DV116,許容応力!$B$6:$K$22,9)*100*2/3*0.8,0)</f>
        <v>#VALUE!</v>
      </c>
      <c r="DS116" s="87">
        <v>600</v>
      </c>
      <c r="DT116" s="87">
        <f>ROUND(I116*100/DS116,2)</f>
        <v>0</v>
      </c>
      <c r="DU116" s="87"/>
      <c r="DV116" s="87" t="e">
        <f>+VALUE(RIGHT(O116,3))</f>
        <v>#VALUE!</v>
      </c>
      <c r="DW116" s="89">
        <f>ROUND(ATAN(E116/10)*180/PI(),4)</f>
        <v>0</v>
      </c>
      <c r="DX116" s="90">
        <f>ROUND(COS(DW116*PI()/180),3)</f>
        <v>1</v>
      </c>
      <c r="DY116" s="87">
        <v>225</v>
      </c>
      <c r="DZ116" s="87">
        <f>ROUND(I116*100/DY116,2)</f>
        <v>0</v>
      </c>
      <c r="EA116" s="87"/>
      <c r="EB116" s="87" t="e">
        <f>ROUNDUP((準備!$G$60/100+準備!$E$48/100)*($G116+$H116)/2,2)+IF(J116=0,0,IF(VALUE(RIGHT($J116,4))=1,$EQ116,0))</f>
        <v>#N/A</v>
      </c>
      <c r="EC116" s="87"/>
      <c r="ED116" s="87"/>
      <c r="EE116" s="87"/>
      <c r="EF116" s="87"/>
      <c r="EG116" s="87" t="e">
        <f>ROUND(DC116*I116*100/2/AK116,1)</f>
        <v>#VALUE!</v>
      </c>
      <c r="EH116" s="87" t="e">
        <f>ROUND(EG116/DQ116,2)</f>
        <v>#VALUE!</v>
      </c>
      <c r="EI116" s="87" t="e">
        <f>ROUND(DD116*I116*100/2/AK116,1)</f>
        <v>#VALUE!</v>
      </c>
      <c r="EJ116" s="87" t="e">
        <f>ROUND(EI116/DR116,2)</f>
        <v>#VALUE!</v>
      </c>
      <c r="EK116" s="63" t="e">
        <f>IF(ES116=2,0,ROUNDUP(IF(F116&gt;=F117,F116,F117)*EC116/#REF!,2))</f>
        <v>#VALUE!</v>
      </c>
      <c r="EL116" s="63" t="e">
        <f>IF(ES116=2,0,ROUNDUP(IF(F116&gt;=F117,F116,F117)*ED116/#REF!,2))</f>
        <v>#VALUE!</v>
      </c>
      <c r="EM116" s="87" t="str">
        <f>IF(E116=0,"",ROUND(DC116*I116*100/2/DO116,1))</f>
        <v/>
      </c>
      <c r="EN116" s="87" t="str">
        <f>IF(E116=0,"",ROUND(DD116*I116*100/2/DP116,1))</f>
        <v/>
      </c>
      <c r="EO116" s="87">
        <f>IF($L116=0,0,ROUNDUP((準備!$G$57/$DX116+IF(AND(VALUE(RIGHT($G$3,4))=1,$T$3=2),$CZ116/$DX116*1.2,$CZ116/$DX116))*($K116+$K117)/2*($L116+$L117)/2,0))</f>
        <v>0</v>
      </c>
      <c r="EP116" s="87">
        <f>IF(L116=0,0,ROUNDUP((準備!$G$57/DX116+IF(AND(VALUE(RIGHT($G$3,4))=1,$T$3=2),DA116/DX116*1.2,DA116/DX116))*(K116+K117)/2*(L116+L117)/2,0))</f>
        <v>0</v>
      </c>
      <c r="EQ116" s="63">
        <f>IF($N117=0,0,ROUND(VLOOKUP(VALUE(RIGHT($N116,4)),$M$600:$O$605,3)/10000*N117*100,2))</f>
        <v>0</v>
      </c>
      <c r="ER116" s="63">
        <f>IF(J116=0,0,IF(VALUE(RIGHT(J116,4))=2,0,ROUNDUP(J120*100*J121*100/(I116*100)*EO116/DK116,1)))</f>
        <v>0</v>
      </c>
      <c r="ES116" s="63">
        <f>IF(FC116=2,0,ROUNDUP(J120*J121/I116*100*EP116/DK116,1))</f>
        <v>0</v>
      </c>
      <c r="ET116" s="63">
        <f>IF(FC116=2,0,IF(FC116=0,0,ROUNDUP(EO116*IF(J120&gt;=J121,J120,J121)*SQRT(POWER(ABS(POWER(J120,2)-POWER(J121,2)),3)/(9*SQRT(3)*EV116*DL116*I116)),2)))</f>
        <v>0</v>
      </c>
      <c r="EU116" s="63">
        <f>IF(FC116=2,0,ROUNDUP(EP116*IF(J120&gt;=J121,J120,J121)*SQRT(POWER(ABS(POWER(J120,2)-POWER(J121,2)),3)/(9*SQRT(3)*EV116*DL116*I116)),2))</f>
        <v>0</v>
      </c>
      <c r="EV116" s="63" t="e">
        <f>+VLOOKUP(DV116,許容応力!$B$6:$K$22,10)*100</f>
        <v>#VALUE!</v>
      </c>
      <c r="EW116" s="63">
        <f>+$GD116+IF(J116=0,0,IF(VALUE(RIGHT($J116,4))=1,$EO116,0))</f>
        <v>0</v>
      </c>
      <c r="EX116" s="63">
        <f>+$GD$98+IF(J116=0,0,IF(VALUE(RIGHT($J116,4))=1,$EP116,0))</f>
        <v>0</v>
      </c>
      <c r="EY116" s="63" t="e">
        <f>ROUND(EW116/AK116,1)</f>
        <v>#DIV/0!</v>
      </c>
      <c r="EZ116" s="63" t="e">
        <f>ROUND(EY116/DQ116,2)</f>
        <v>#DIV/0!</v>
      </c>
      <c r="FA116" s="63" t="e">
        <f>ROUND(EX116/AK116,1)</f>
        <v>#DIV/0!</v>
      </c>
      <c r="FB116" s="63" t="e">
        <f>ROUND(FA116/DR116,2)</f>
        <v>#DIV/0!</v>
      </c>
      <c r="FC116" s="63">
        <f>IF(J116=0,2,+VALUE(RIGHT(J116,3)))</f>
        <v>2</v>
      </c>
      <c r="FD116" s="63">
        <f>IF($DN$6=2,400,200)</f>
        <v>200</v>
      </c>
      <c r="FE116" s="63">
        <f>ROUND(I116*100/FD116,2)</f>
        <v>0</v>
      </c>
      <c r="FF116" s="63">
        <v>200</v>
      </c>
      <c r="FG116" s="63">
        <f>ROUND(I116*100/FF116,2)</f>
        <v>0</v>
      </c>
      <c r="FH116" s="78" t="e">
        <f>ROUND(ET116/FE116,1)</f>
        <v>#DIV/0!</v>
      </c>
      <c r="FI116" s="78" t="e">
        <f>ROUND(EU116/FG116,1)</f>
        <v>#DIV/0!</v>
      </c>
      <c r="FJ116" s="78"/>
      <c r="FK116" s="63" t="e">
        <f>IF(FR116&lt;21,21,IF(AND(FR116&gt;21,FR116&lt;=24),24,IF(AND(FR116&gt;30,FR116&lt;=40),40,IF(AND(FR116&gt;40,FR116&lt;=45),45,IF(AND(FR116&gt;60,FR116&lt;=75),75,IF(AND(FR116&gt;90,FR116&lt;=105),105,IF(AND(FR116&gt;120,FR116&lt;=135),135,ROUNDUP(FR116/3,-1)*3)))))))</f>
        <v>#VALUE!</v>
      </c>
      <c r="FL116" s="63" t="e">
        <f>IF(FS116&lt;21,21,IF(AND(FS116&gt;21,FS116&lt;=24),24,IF(AND(FS116&gt;30,FS116&lt;=40),40,IF(AND(FS116&gt;40,FS116&lt;=45),45,IF(AND(FS116&gt;60,FS116&lt;=75),75,IF(AND(FS116&gt;90,FS116&lt;=105),105,IF(AND(FS116&gt;120,FS116&lt;=135),135,ROUNDUP(FS116/3,-1)*3)))))))</f>
        <v>#VALUE!</v>
      </c>
      <c r="FN116" s="63" t="e">
        <f>IF(FU116&lt;21,21,IF(AND(FU116&gt;21,FU116&lt;=24),24,IF(AND(FU116&gt;30,FU116&lt;=40),40,IF(AND(FU116&gt;40,FU116&lt;=45),45,IF(AND(FU116&gt;60,FU116&lt;=75),75,IF(AND(FU116&gt;90,FU116&lt;=105),105,IF(AND(FU116&gt;120,FU116&lt;=135),135,ROUNDUP(FU116/3,-1)*3)))))))</f>
        <v>#VALUE!</v>
      </c>
      <c r="FO116" s="63" t="e">
        <f>IF(FV116&lt;21,21,IF(AND(FV116&gt;21,FV116&lt;=24),24,IF(AND(FV116&gt;30,FV116&lt;=40),40,IF(AND(FV116&gt;40,FV116&lt;=45),45,IF(AND(FV116&gt;60,FV116&lt;=75),75,IF(AND(FV116&gt;90,FV116&lt;=105),105,IF(AND(FV116&gt;120,FV116&lt;=135),135,ROUNDUP(FV116/3,-1)*3)))))))</f>
        <v>#VALUE!</v>
      </c>
      <c r="FP116" s="155" t="e">
        <f>+MAX(FK116:FO116)</f>
        <v>#VALUE!</v>
      </c>
      <c r="FQ116" s="2"/>
      <c r="FR116" s="87" t="e">
        <f>ROUND(SQRT(FX116/($P118/10)*6/IF(OR($S118=0,$S118=1),1,$S118))*10,0)</f>
        <v>#VALUE!</v>
      </c>
      <c r="FS116" s="87" t="e">
        <f>POWER(ROUND(FY116/($P118/10)*12/IF(OR($S118=0,$S118=1),1,$S118),0),1/3)*10</f>
        <v>#VALUE!</v>
      </c>
      <c r="FU116" s="87" t="e">
        <f>ROUND(SQRT(GA116/($P118/10)*6/IF(OR($S118=0,$S118=1),1,$S118))*10,0)</f>
        <v>#VALUE!</v>
      </c>
      <c r="FV116" s="87" t="e">
        <f>POWER(ROUND(GB116/($P118/10)*12/IF(OR($S118=0,$S118=1),1,$S118),0),1/3)*10</f>
        <v>#VALUE!</v>
      </c>
      <c r="FW116" s="2"/>
      <c r="FX116" s="87" t="e">
        <f>ROUNDUP($I116*100*($DC116*$I116*100+2*($GD116+IF(J116=0,0,IF(VALUE(RIGHT($J116,4))=1,$EO116,0))))/2/$DM116,1)</f>
        <v>#VALUE!</v>
      </c>
      <c r="FY116" s="87" t="e">
        <f>ABS(ROUNDUP((3*$DC116*POWER($I116*100,4)+$DC116*$I116*100*$I118*100*(4*POWER($I116*100,2)-POWER($I118*100,2))+8*($GD116+IF(J116=0,0,IF(VALUE(RIGHT($J116,4))=1,$EO116*POWER($I116*100,2)*($I116*100+$I118*100),0))))/(24*$CX116*$DT116*100),2))</f>
        <v>#VALUE!</v>
      </c>
      <c r="FZ116" s="87"/>
      <c r="GA116" s="87" t="e">
        <f>ROUNDUP($I116*100*($DD116*$I116*100+2*($GD116+IF(J116=0,0,IF(VALUE(RIGHT($J116,4))=1,$EP116,0))))/2/$DN116,1)</f>
        <v>#VALUE!</v>
      </c>
      <c r="GB116" s="87" t="e">
        <f>ABS(ROUNDUP((3*$DD116*POWER($I116*100,4)+$DD116*$I116*100*$I118*100*(4*POWER($I116*100,2)-POWER($I118*100,2))+8*($GD116+IF(J116=0,0,IF(VALUE(RIGHT($J116,4))=1,$EP116*POWER($I116*100,2)*($I116*100+$I118*100),0))))/(24*$CX116*$DZ116*100),2))</f>
        <v>#VALUE!</v>
      </c>
      <c r="GD116" s="63">
        <f>IF($J121=0,0,VLOOKUP(VALUE(RIGHT($J$102,4)),$M$600:$O$605,3)/10000*(N120+N121)/2*100*J121*100)</f>
        <v>0</v>
      </c>
    </row>
    <row r="117" spans="2:186" ht="15.95" customHeight="1" x14ac:dyDescent="0.15">
      <c r="B117" s="1514"/>
      <c r="C117" s="1499"/>
      <c r="D117" s="1502"/>
      <c r="E117" s="583" t="s">
        <v>716</v>
      </c>
      <c r="F117" s="1131"/>
      <c r="G117" s="1359"/>
      <c r="H117" s="1359"/>
      <c r="I117" s="1359"/>
      <c r="J117" s="1609"/>
      <c r="K117" s="212"/>
      <c r="L117" s="213"/>
      <c r="M117" s="310" t="s">
        <v>263</v>
      </c>
      <c r="N117" s="301"/>
      <c r="O117" s="1575"/>
      <c r="P117" s="1193">
        <f>+IF(O116=0,0,"丸太末口 φ")</f>
        <v>0</v>
      </c>
      <c r="Q117" s="1194"/>
      <c r="R117" s="239">
        <f>IF(O116=0,0,+FP117)</f>
        <v>0</v>
      </c>
      <c r="S117" s="1120"/>
      <c r="T117" s="240" t="str">
        <f>IF(AA117=+"","",IF(AND(AA117&lt;=1,AB117&lt;=1,AD117&lt;=1,AE117&lt;=1),"OK!","NO!"))</f>
        <v/>
      </c>
      <c r="U117" s="240">
        <f>IF(W117=0,0,IF(IF(AC117&gt;=AF117,AC117,AF117)&lt;=1,"OK!","NO!"))</f>
        <v>0</v>
      </c>
      <c r="V117" s="827"/>
      <c r="W117" s="159"/>
      <c r="X117" s="205">
        <f>IF(W117=0,0,+CT117)</f>
        <v>0</v>
      </c>
      <c r="Y117" s="205" t="str">
        <f>IF(X117=0,"",ROUND(POWER(W117*X117,2)/(IF(V117=0,(R117/10-6)*(R117/10-3),(V117/10-6)*(V117/10-3))),2))</f>
        <v/>
      </c>
      <c r="Z117" s="206" t="str">
        <f>IF(EM117&gt;=EN117,EM117,EN117)</f>
        <v/>
      </c>
      <c r="AA117" s="206" t="str">
        <f>IF(R117=0,"",ROUNDUP(DE117/DM117,2))</f>
        <v/>
      </c>
      <c r="AB117" s="206" t="str">
        <f>IF(R117=0,"",ROUND(DF117/DT117,2))</f>
        <v/>
      </c>
      <c r="AC117" s="206" t="str">
        <f>IF(W117=0,"",ROUND(DG117/DO117,2))</f>
        <v/>
      </c>
      <c r="AD117" s="206" t="str">
        <f>IF(R117=0,"",ROUNDUP(DH117/DN117,2))</f>
        <v/>
      </c>
      <c r="AE117" s="206" t="str">
        <f>IF(R117=0,"",ROUNDUP(DI117/DZ117,2))</f>
        <v/>
      </c>
      <c r="AF117" s="206" t="str">
        <f>IF(W117=0,"",ROUNDUP(DJ117/DP117,2))</f>
        <v/>
      </c>
      <c r="AG117" s="333"/>
      <c r="AH117" s="333"/>
      <c r="AI117" s="334"/>
      <c r="AJ117" s="334"/>
      <c r="AK117" s="318">
        <f>IF(AH117=0,0,ROUND(AG117*AH117+AI117*AJ117,2))</f>
        <v>0</v>
      </c>
      <c r="AL117" s="318" t="str">
        <f>IF(AH117=0,"",IF(EH117&gt;=EJ117,EH117+EZ117,EJ117+FB117))</f>
        <v/>
      </c>
      <c r="AM117" s="248" t="str">
        <f>IF(AL117=+"","",IF(AL117&lt;=1,"OK!","NO!"))</f>
        <v/>
      </c>
      <c r="AN117" s="184">
        <f>+AN116</f>
        <v>0</v>
      </c>
      <c r="AO117" s="185">
        <f>+AO116</f>
        <v>0</v>
      </c>
      <c r="AP117" s="23"/>
      <c r="AQ117" s="23"/>
      <c r="CN117" s="23"/>
      <c r="CO117" s="23"/>
      <c r="CP117" s="9" t="e">
        <f>ROUNDUP((DC117*I116*100/2*4/3/DQ117)+GD117/DQ117+IF(J116=0,0,IF(VALUE(RIGHT(J116,4))=1,EO117/DQ117,0)),2)</f>
        <v>#VALUE!</v>
      </c>
      <c r="CQ117" s="9" t="e">
        <f>ROUNDUP((DD117*I116*100/2*4/3/DR117)+GD117/DR117+IF(J116=0,0,IF(VALUE(RIGHT(J116,4))=1,EP117/DR117,0)),2)</f>
        <v>#VALUE!</v>
      </c>
      <c r="CR117" s="23" t="e">
        <f>IF(CP117&gt;=CQ117,CP117,CQ117)</f>
        <v>#VALUE!</v>
      </c>
      <c r="CS117" s="23" t="e">
        <f>IF(CP117&gt;=CQ117,CP117,CQ117)</f>
        <v>#VALUE!</v>
      </c>
      <c r="CT117" s="9">
        <f>IF(R117=0,0,ROUNDUP(SQRT(IF(V117=0,(Z117*(R117/10-6)*(R117/10-3)),(Z117*(V117/10-6)*(V117/10-3)))/(W117*W117)),2))</f>
        <v>0</v>
      </c>
      <c r="CU117" s="9"/>
      <c r="CV117" s="23"/>
      <c r="CW117" s="23"/>
      <c r="CY117" s="63"/>
      <c r="CZ117" s="63">
        <f>ROUNDUP(IF(VALUE(RIGHT($G$3,3))=1,DA117*0.7,0),0)</f>
        <v>0</v>
      </c>
      <c r="DA117" s="63" t="e">
        <f>ROUNDUP(IF(VALUE(RIGHT($G$3,4))=1,$I$3*30*F116*100,$I$3*20*F116*100),0)</f>
        <v>#VALUE!</v>
      </c>
      <c r="DB117" s="63"/>
      <c r="DC117" s="87" t="e">
        <f>ROUNDUP(IF(VALUE(RIGHT($F117,4))=1,(準備!$G$60/100+準備!$D$48/100),(準備!$G$15/100+準備!$D$48/100+IF(N117=0,CZ117/100,0)))*($G116+$H116)/2,2)+IF($N117=0,0,$EQ117)</f>
        <v>#VALUE!</v>
      </c>
      <c r="DD117" s="87" t="e">
        <f>ROUNDUP(IF(VALUE(RIGHT($F117,4))=1,(準備!$G$60/100+6),(準備!$G$15/100+6+$DA116/100))*($G116+$H116)/2,2)+IF($N117=0,0,EQ117)</f>
        <v>#VALUE!</v>
      </c>
      <c r="DE117" s="63">
        <f>IF($R117=0,0,ROUNDUP($I116*100*($DC117*$I116*100+2*($GD117+IF(J116=0,0,IF(VALUE(RIGHT($J116,4))=1,$EO116,0))))/2/$DK117,1))</f>
        <v>0</v>
      </c>
      <c r="DF117" s="87" t="e">
        <f>ABS(ROUNDUP((3*$DC117*POWER($I116*100,4)+$DC117*$I116*100*$I118*100*(4*POWER($I116*100,2)-POWER($I118*100,2))+8*($GD116+IF(J116=0,0,IF(VALUE(RIGHT($J116,4))=1,$EO117*POWER($I116*100,2)*($I116*100+$I118*100),0))))/(24*$CX116*$DL117*100),2))</f>
        <v>#VALUE!</v>
      </c>
      <c r="DG117" s="87" t="e">
        <f>ROUND(($DC117*$I116*100+(GD116+IF(J116=0,0,IF(VALUE(RIGHT($J116,4))=1,$EO117,0))))/($Y117*3*2),1)</f>
        <v>#VALUE!</v>
      </c>
      <c r="DH117" s="63">
        <f>IF($R117=0,0,ROUNDUP($I116*100*($DD117*$I116*100+2*($GD116+IF(J116=0,0,IF(VALUE(RIGHT($J116,4))=1,$EP116,0))))/2/$DK117,1))</f>
        <v>0</v>
      </c>
      <c r="DI117" s="87" t="e">
        <f>ABS(ROUNDUP((3*$DD117*POWER($I116*100,4)+$DD117*$I116*100*$I118*100*(4*POWER($I116*100,2)-POWER($I118*100,2))+8*($GD116+IF(J116=0,0,IF(VALUE(RIGHT($J116,4))=1,$EP117*POWER($I116*100,2)*($I116*100+$I118*100),0))))/(24*$CX116*$DL117*100),2))</f>
        <v>#VALUE!</v>
      </c>
      <c r="DJ117" s="87" t="e">
        <f>ROUND(($DD117*$I116*100+GD116+IF(J116=0,0,IF(VALUE(RIGHT($J116,4))=1,$EP117,0)))/($Y117*3*2),1)</f>
        <v>#VALUE!</v>
      </c>
      <c r="DK117" s="63">
        <f>IF(R117&lt;180,ROUND((R117/10-3)*POWER(R117/10-3,2)/6*IF(S117=0,1,S117),0),ROUND((R117/10-5)*POWER(R117/10-3,2)/6*IF($S117=0,1,$S117),0))</f>
        <v>-5</v>
      </c>
      <c r="DL117" s="63">
        <f>ROUND(IF(R117&lt;180,(R117/10-3)*POWER((R117/10-3),3)/12*IF(S117=0,1,S117),(R117/10-5))*POWER((R117/10-3),3)/12*IF(S117=0,1,S117),0)</f>
        <v>-15</v>
      </c>
      <c r="DM117" s="10" t="e">
        <f>IF($DN$6=2,ROUND(VLOOKUP(DV117,許容応力!$L$6:$U$22,7)*1.1/3*100,0),ROUND(VLOOKUP(DV117,許容応力!$L$6:$U$22,7)*1.1/3*1.3*100,0))</f>
        <v>#VALUE!</v>
      </c>
      <c r="DN117" s="63" t="e">
        <f>ROUND(VLOOKUP(DV117,許容応力!$L$6:$U$22,7)*100*2/3*0.8,0)</f>
        <v>#VALUE!</v>
      </c>
      <c r="DO117" s="10" t="e">
        <f>IF($DN$6=2,ROUND(VLOOKUP(DV117,許容応力!$L$6:$U$22,8)*1.1/3*100,0),ROUND(VLOOKUP(DV117,許容応力!$L$6:$U$22,8)*1.1/3*1.3*100,0))</f>
        <v>#VALUE!</v>
      </c>
      <c r="DP117" s="63" t="e">
        <f>ROUND(VLOOKUP(DV117,許容応力!$L$6:$U$22,8)*100*2/3*0.8,0)</f>
        <v>#VALUE!</v>
      </c>
      <c r="DQ117" s="10" t="e">
        <f>IF($DN$6=2,ROUND(VLOOKUP(DV117,許容応力!$L$6:$U$22,9)*1.1/3*100,0),ROUND(VLOOKUP(DV117,許容応力!$L$6:$U$22,9)*1.1/3*1.3*100,0))</f>
        <v>#VALUE!</v>
      </c>
      <c r="DR117" s="63" t="e">
        <f>ROUND(VLOOKUP(DV117,許容応力!$L$6:$U$22,9)*100*2/3*0.8,0)</f>
        <v>#VALUE!</v>
      </c>
      <c r="DS117" s="63">
        <v>600</v>
      </c>
      <c r="DT117" s="63">
        <f>ROUND(I116*100/DS117,2)</f>
        <v>0</v>
      </c>
      <c r="DU117" s="63"/>
      <c r="DV117" s="78" t="e">
        <f>+VALUE(RIGHT(O116,3))</f>
        <v>#VALUE!</v>
      </c>
      <c r="DW117" s="69">
        <f>ROUND(ATAN(E116/10)*180/PI(),4)</f>
        <v>0</v>
      </c>
      <c r="DX117" s="70">
        <f>ROUND(COS(DW117*PI()/180),3)</f>
        <v>1</v>
      </c>
      <c r="DY117" s="63">
        <v>225</v>
      </c>
      <c r="DZ117" s="63">
        <f>ROUND(I116*100/DY117,2)</f>
        <v>0</v>
      </c>
      <c r="EA117" s="63"/>
      <c r="EB117" s="78" t="e">
        <f>ROUNDUP((準備!$G$60/100+準備!$E$48/100)*($G116+$H116)/2,2)+IF(J116=0,0,IF(VALUE(RIGHT($J116,4))=1,$EQ117,0))</f>
        <v>#N/A</v>
      </c>
      <c r="EC117" s="63"/>
      <c r="ED117" s="71">
        <f>IF(I116&lt;6,POWER(R117/10,2)*I116/10000,POWER((R117/10+(ROUNDDOWN(I116,0)-4)/2),2)*I116/10000)</f>
        <v>0</v>
      </c>
      <c r="EE117" s="63">
        <v>200</v>
      </c>
      <c r="EF117" s="84">
        <f>ROUND(ED117*EE117/100,0)</f>
        <v>0</v>
      </c>
      <c r="EG117" s="63" t="e">
        <f>ROUND((DC117*I116*100/2+EF117)/AK117,1)</f>
        <v>#VALUE!</v>
      </c>
      <c r="EH117" s="63" t="e">
        <f>ROUND(EG117/DQ117,2)</f>
        <v>#VALUE!</v>
      </c>
      <c r="EI117" s="63" t="e">
        <f>ROUND((DD117*I116*100/2+EF117)/AK117,1)</f>
        <v>#VALUE!</v>
      </c>
      <c r="EJ117" s="63" t="e">
        <f>ROUND(EI117/DR117,2)</f>
        <v>#VALUE!</v>
      </c>
      <c r="EK117" s="63" t="e">
        <f>ROUNDUP(IF(F116&gt;=F117,F116,F117)*EC117/#REF!,2)</f>
        <v>#VALUE!</v>
      </c>
      <c r="EL117" s="63" t="e">
        <f>ROUNDUP(IF(F116&gt;=F117,F116,F117)*ED117/#REF!,2)</f>
        <v>#VALUE!</v>
      </c>
      <c r="EM117" s="87" t="str">
        <f>IF(E116=0,"",ROUND(DC117*I116*100/2/DO117,1))</f>
        <v/>
      </c>
      <c r="EN117" s="87" t="str">
        <f>IF(E116=0,"",ROUND(DD117*I116*100/2/DP117,1))</f>
        <v/>
      </c>
      <c r="EO117" s="63">
        <f>IF(L116=0,0,ROUNDUP((準備!$G$57/DX117+IF(AND(VALUE(RIGHT($G$3,4))=1,$T$3=2),CZ117/DX117*1.2,CZ117/DX117))*(K116+K117)/2*(L116+L117)/2,0))</f>
        <v>0</v>
      </c>
      <c r="EP117" s="63">
        <f>IF(L116=0,0,ROUNDUP((準備!$G$57/DX117+IF(AND(VALUE(RIGHT($G$3,4))=1,$T$3=2),DA117/DX117*1.2,DA117/DX117))*(K116+K117)/2*(L116+L117)/2,0))</f>
        <v>0</v>
      </c>
      <c r="EQ117" s="63">
        <f>+EQ116</f>
        <v>0</v>
      </c>
      <c r="ER117" s="63">
        <f>IF(J116=0,0,IF(VALUE(RIGHT(J116,4))=2,0,ROUNDUP(J120*100*J121*100/(I116*100)*EO117/DK117,1)))</f>
        <v>0</v>
      </c>
      <c r="ES117" s="63" t="e">
        <f>IF(FC117=2,0,ROUNDUP(N288*J121/I116*100*EP117/DK117,1))</f>
        <v>#VALUE!</v>
      </c>
      <c r="ET117" s="63" t="e">
        <f>ROUNDUP(EO117*IF(J120&gt;=J121,J120*100,J121*100)*SQRT(POWER(ABS(POWER(J120,2)-POWER(J121,2)),3)/(9*SQRT(3)*EV117*DL117*I116)),2)</f>
        <v>#VALUE!</v>
      </c>
      <c r="EU117" s="63" t="e">
        <f>ROUNDUP(EP117*IF(J120&gt;=J121,J120*100,J121*100)*SQRT(POWER(ABS(POWER(J120,2)-POWER(J121,2)),3)/(9*SQRT(3)*EV117*DL117*I116)),2)</f>
        <v>#VALUE!</v>
      </c>
      <c r="EV117" s="63" t="e">
        <f>+VLOOKUP(DV117,許容応力!$L$6:$V$22,10)*100</f>
        <v>#VALUE!</v>
      </c>
      <c r="EW117" s="63">
        <f>+$GD116+IF(J116=0,0,IF(VALUE(RIGHT($J116,4))=1,$EO117,0))</f>
        <v>0</v>
      </c>
      <c r="EX117" s="63">
        <f>+$GD$98+IF(J116=0,0,IF(VALUE(RIGHT($J116,4))=1,$EP117,0))</f>
        <v>0</v>
      </c>
      <c r="EY117" s="63" t="e">
        <f>ROUND(EW117/AK117,1)</f>
        <v>#DIV/0!</v>
      </c>
      <c r="EZ117" s="63" t="e">
        <f>ROUND(EY117/DQ117,2)</f>
        <v>#DIV/0!</v>
      </c>
      <c r="FA117" s="63" t="e">
        <f>ROUND(EX117/AK117,1)</f>
        <v>#DIV/0!</v>
      </c>
      <c r="FB117" s="63" t="e">
        <f>ROUND(FA117/DR117,2)</f>
        <v>#DIV/0!</v>
      </c>
      <c r="FC117" s="63" t="e">
        <f>+VALUE(RIGHT(J116,3))</f>
        <v>#VALUE!</v>
      </c>
      <c r="FD117" s="63">
        <f>IF($DN$6=2,400,200)</f>
        <v>200</v>
      </c>
      <c r="FE117" s="63">
        <f>ROUND(I116*100/FD117,2)</f>
        <v>0</v>
      </c>
      <c r="FF117" s="78">
        <v>200</v>
      </c>
      <c r="FG117" s="63">
        <f>ROUND(I116*100/FF117,2)</f>
        <v>0</v>
      </c>
      <c r="FH117" s="78" t="e">
        <f>ROUND(ET117/FE117,1)</f>
        <v>#VALUE!</v>
      </c>
      <c r="FI117" s="78" t="e">
        <f>ROUND(EU117/FG117,1)</f>
        <v>#VALUE!</v>
      </c>
      <c r="FJ117" s="78"/>
      <c r="FK117" s="63" t="e">
        <f>IF(S117=0.8,VLOOKUP(FR117,$CR$395:$CS$439,2),IF(S117=0.9,VLOOKUP(FR117,$CR$348:$CS$394,2),VLOOKUP(FR117,$CR$301:$CS$344,2)))</f>
        <v>#VALUE!</v>
      </c>
      <c r="FL117" s="63" t="e">
        <f>IF(S117=0.8,VLOOKUP(FS117,$CT$395:$CU$439,2),IF(S117=0.9,VLOOKUP(FS117,$CT$348:$CU$394,2),VLOOKUP(FS117,$CT$301:$CU$344,2)))</f>
        <v>#VALUE!</v>
      </c>
      <c r="FN117" s="63" t="e">
        <f>IF(S117=0.8,VLOOKUP(FU117,$CR$395:$CS$439,2),IF(S117=0.9,VLOOKUP(FU117,$CR$348:$CS$394,2),VLOOKUP(FU117,$CR$301:$CS$344,2)))</f>
        <v>#VALUE!</v>
      </c>
      <c r="FO117" s="63" t="e">
        <f>IF(S117=0.8,VLOOKUP(FV117,$CT$395:$CU$439,2),IF(S117=0.9,VLOOKUP(FV117,$CT$348:$CU$394,2),VLOOKUP(FV117,$CT$301:$CU$344,2)))</f>
        <v>#VALUE!</v>
      </c>
      <c r="FP117" s="155" t="e">
        <f>+MAX(FK117:FO117)</f>
        <v>#VALUE!</v>
      </c>
      <c r="FQ117" s="2"/>
      <c r="FR117" s="63" t="e">
        <f>ROUNDUP($I116*100*($DC117*$I116*100+2*($GD117+IF(J116=0,0,IF(VALUE(RIGHT($J116,4))=1,$EO116,0))))/2/$DM117,1)</f>
        <v>#VALUE!</v>
      </c>
      <c r="FS117" s="87" t="e">
        <f>ABS(ROUNDUP((3*$DC117*POWER($I116*100,4)+$DC117*$I116*100*$I118*100*(4*POWER($I116*100,2)-POWER($I118*100,2))+8*($GD116+IF(J116=0,0,IF(VALUE(RIGHT($J116,4))=1,$EO117*POWER($I116*100,2)*($I116*100+$I118*100),0))))/(24*$CX116*$DT117*100),2))</f>
        <v>#VALUE!</v>
      </c>
      <c r="FT117" s="87"/>
      <c r="FU117" s="63" t="e">
        <f>ROUNDUP($I116*100*($DD117*$I116*100+2*($GD116+IF(J116=0,0,IF(VALUE(RIGHT($J116,4))=1,$EP116,0))))/2/$DN117,1)</f>
        <v>#VALUE!</v>
      </c>
      <c r="FV117" s="87" t="e">
        <f>ABS(ROUNDUP((3*$DD117*POWER($I116*100,4)+$DD117*$I116*100*$I118*100*(4*POWER($I116*100,2)-POWER($I118*100,2))+8*($GD116+IF(J116=0,0,IF(VALUE(RIGHT($J116,4))=1,$EP117*POWER($I116*100,2)*($I116*100+$I118*100),0))))/(24*$CX116*$DZ117*100),2))</f>
        <v>#VALUE!</v>
      </c>
      <c r="FW117" s="2"/>
      <c r="FX117" s="2"/>
      <c r="FY117" s="2"/>
      <c r="FZ117" s="2"/>
      <c r="GA117" s="2"/>
      <c r="GB117" s="2"/>
      <c r="GD117" s="63">
        <f>+GD116</f>
        <v>0</v>
      </c>
    </row>
    <row r="118" spans="2:186" ht="15.95" customHeight="1" thickBot="1" x14ac:dyDescent="0.2">
      <c r="B118" s="1514"/>
      <c r="C118" s="1499"/>
      <c r="D118" s="1376" t="s">
        <v>715</v>
      </c>
      <c r="E118" s="1509">
        <f>+E116</f>
        <v>0</v>
      </c>
      <c r="F118" s="1510" t="str">
        <f>IF(E118=0,"",ROUND(SQRT(COS(DW118*1.5*PI()/180)),3))</f>
        <v/>
      </c>
      <c r="G118" s="1359"/>
      <c r="H118" s="1359"/>
      <c r="I118" s="1359"/>
      <c r="J118" s="303"/>
      <c r="K118" s="302"/>
      <c r="L118" s="302"/>
      <c r="M118" s="309" t="s">
        <v>259</v>
      </c>
      <c r="N118" s="1147"/>
      <c r="O118" s="1598">
        <f>+O116</f>
        <v>0</v>
      </c>
      <c r="P118" s="305">
        <f>+P116</f>
        <v>0</v>
      </c>
      <c r="Q118" s="195">
        <f>+IF(P118=0,0,"×")</f>
        <v>0</v>
      </c>
      <c r="R118" s="237">
        <f>IF(P118=0,0,+FP118)</f>
        <v>0</v>
      </c>
      <c r="S118" s="1119"/>
      <c r="T118" s="238" t="str">
        <f>IF(AA118=+"","",IF(AND(AA118&lt;=1,AB118&lt;=1,AD118&lt;=1,AE118&lt;=1),"OK!","NO!"))</f>
        <v/>
      </c>
      <c r="U118" s="238">
        <f>IF(W118=0,0,IF(IF(AC118&gt;=AF118,AC118,AF118)&lt;=1,"OK!","NO!"))</f>
        <v>0</v>
      </c>
      <c r="V118" s="828"/>
      <c r="W118" s="157"/>
      <c r="X118" s="198">
        <f>IF(W118=0,0,+CT118)</f>
        <v>0</v>
      </c>
      <c r="Y118" s="198">
        <f>IF(X118=0,0,ROUND(POWER(W118*X118,2)/(P118/10*IF(V118=0,R118/10,V118/10)),2))</f>
        <v>0</v>
      </c>
      <c r="Z118" s="199" t="str">
        <f>IF(EM118&gt;=EN118,EM118,EN118)</f>
        <v/>
      </c>
      <c r="AA118" s="199" t="str">
        <f>IF(R118=0,"",ROUNDUP((DE118)/DM118,2))</f>
        <v/>
      </c>
      <c r="AB118" s="199" t="str">
        <f>IF(R118=0,"",ROUND(DF118/DT118,2))</f>
        <v/>
      </c>
      <c r="AC118" s="199" t="str">
        <f>IF(W118=0,"",ROUND(DG118/DO118,2))</f>
        <v/>
      </c>
      <c r="AD118" s="199" t="str">
        <f>IF(R118=0,"",ROUNDUP((DH118)/DN118,2))</f>
        <v/>
      </c>
      <c r="AE118" s="199" t="str">
        <f>IF(R118=0,"",ROUNDUP(DI118/DZ118,2))</f>
        <v/>
      </c>
      <c r="AF118" s="201" t="str">
        <f>IF(W118=0,"",ROUNDUP(DJ118/DP118,2))</f>
        <v/>
      </c>
      <c r="AG118" s="327"/>
      <c r="AH118" s="321"/>
      <c r="AI118" s="328"/>
      <c r="AJ118" s="328"/>
      <c r="AK118" s="321"/>
      <c r="AL118" s="321"/>
      <c r="AM118" s="322"/>
      <c r="AN118" s="186">
        <f>IF(I118=0,0,+AN116)</f>
        <v>0</v>
      </c>
      <c r="AO118" s="295">
        <f>IF(I118=0,0,+DS118)</f>
        <v>0</v>
      </c>
      <c r="CP118" s="9" t="e">
        <f>ROUNDUP((DC118*I118*100/2*3/2/DQ118),2)</f>
        <v>#N/A</v>
      </c>
      <c r="CQ118" s="9" t="e">
        <f>ROUNDUP((DD118*I118*100/2*3/2/DR118),2)</f>
        <v>#N/A</v>
      </c>
      <c r="CR118" s="23" t="e">
        <f>IF(CP118&gt;=CQ118,CP118,CQ118)</f>
        <v>#N/A</v>
      </c>
      <c r="CS118" s="23" t="e">
        <f>IF(CP118&gt;=CQ118,CP118,CQ118)</f>
        <v>#N/A</v>
      </c>
      <c r="CT118" s="9">
        <f>IF(R118=0,0,ROUNDUP(SQRT((Z118*P118/10*IF(V118=0,R118/10,V118/10))/(W118*W118)),2))</f>
        <v>0</v>
      </c>
      <c r="CU118" s="9"/>
      <c r="CV118" s="23"/>
      <c r="CW118" s="23" t="e">
        <f>ROUND((POWER(I118*100,2)-POWER(I116*100,2))/2/(I118*100),2)</f>
        <v>#DIV/0!</v>
      </c>
      <c r="CY118" s="63"/>
      <c r="CZ118" s="87">
        <f>ROUNDUP(IF(VALUE(RIGHT($G$3,3))=1,DA118*0.7,0),0)</f>
        <v>0</v>
      </c>
      <c r="DA118" s="87" t="e">
        <f>ROUNDUP(IF(VALUE(RIGHT($G$3,4))=1,$I$3*30*F118*100,$I$3*20*F118*100),0)</f>
        <v>#VALUE!</v>
      </c>
      <c r="DB118" s="87"/>
      <c r="DC118" s="87" t="e">
        <f>ROUNDUP((準備!$G$60/100+準備!$D$48/100)*($G118+$H118)/2,2)+IF($M121=0,0,$EQ118)</f>
        <v>#N/A</v>
      </c>
      <c r="DD118" s="87">
        <f>ROUNDUP((準備!$G$60/100+6)*(G118+H118)/2,2)+IF(M121=0,0,EQ118)</f>
        <v>0</v>
      </c>
      <c r="DE118" s="87" t="e">
        <f>ABS(ROUNDUP(($DC118*$I118*100*POWER($CW118,2)-2*($GD116+$EO116*$I116*100*$CW118))/2/($I118*100)/$DK118,1))</f>
        <v>#N/A</v>
      </c>
      <c r="DF118" s="87" t="e">
        <f>ABS(ROUNDUP((5*$DC118*POWER($I118*100,4)-$DC118*POWER($I116*100,2)-24.6528*($GD116+IF(J116=0,0,IF(VALUE(RIGHT($J116,4))=1,$EO116*$I116*100*POWER($I118*100,2),0))))/(384*VLOOKUP(VALUE(RIGHT($O116,4)),許容応力!$B$6:$K$22,10)*100*$DL118*100),2))</f>
        <v>#N/A</v>
      </c>
      <c r="DG118" s="87" t="e">
        <f>ROUND(($DC118*($I118*100-$CW118)+(GD116*I116*100/(I118*100)+IF(J116=0,0,IF(VALUE(RIGHT($J116,4))=1,$EO116*$I116*100/($I118*100),0))))/($Y118*3*2),1)</f>
        <v>#N/A</v>
      </c>
      <c r="DH118" s="87" t="e">
        <f>ABS(ROUNDUP(($DD118*$I118*100*POWER($CW118,2)-2*($GD116+IF(J116=0,0,IF(VALUE(RIGHT($J116,4))=1,$EP116*$I116*100*$CW118,0))))/2/($I118*100)/$DK118,1))</f>
        <v>#DIV/0!</v>
      </c>
      <c r="DI118" s="87" t="e">
        <f>ABS(ROUNDUP((5*$DD118*POWER($I118*100,4)-$DD118*POWER($I116*100,2)-24.6528*($GD116+$EP116*$I116*100*POWER($I118*100,2)))/(384*VLOOKUP(VALUE(RIGHT($O116,4)),許容応力!$B$6:$K$22,10)*100*$DL118*100),2))</f>
        <v>#VALUE!</v>
      </c>
      <c r="DJ118" s="87" t="e">
        <f>ROUND(($DD118*($I118*100-$CW118)+(GD116*I116*100/(I118*100)+IF(J116=0,0,IF(VALUE(RIGHT($J116,4))=1,$EP116*$I116*100/($I118*100),0))))/($Y118*3*2),1)</f>
        <v>#DIV/0!</v>
      </c>
      <c r="DK118" s="87">
        <f>ROUNDDOWN($P118/10*POWER($R118/10,2)/6*IF(OR($S118=0,$S118=1),1,$S118),0)</f>
        <v>0</v>
      </c>
      <c r="DL118" s="87">
        <f>ROUNDDOWN($P118/10*POWER($R118/10,3)/12*IF(OR($S118=0,$S118=1),1,$S118),0)</f>
        <v>0</v>
      </c>
      <c r="DM118" s="88" t="e">
        <f>IF($DN$6=2,ROUND(VLOOKUP(DV118,許容応力!$B$6:$K$22,7)*1.1/3*100,0),ROUND(VLOOKUP(DV118,許容応力!$B$6:$K$22,7)*1.1/3*1.3*100,0))</f>
        <v>#N/A</v>
      </c>
      <c r="DN118" s="87" t="e">
        <f>ROUND(VLOOKUP(DV118,許容応力!$B$6:$K$22,7)*100*2/3*0.8,0)</f>
        <v>#N/A</v>
      </c>
      <c r="DO118" s="88" t="e">
        <f>IF($DN$6=2,ROUND(VLOOKUP(DV118,許容応力!$B$6:$K$22,8)*1.1/3*100,0),ROUND(VLOOKUP(DV118,許容応力!$B$6:$K$22,8)*1.1/3*1.3*100,0))</f>
        <v>#N/A</v>
      </c>
      <c r="DP118" s="87" t="e">
        <f>ROUND(VLOOKUP(DV118,許容応力!$B$6:$K$22,8)*100*2/3*0.8,0)</f>
        <v>#N/A</v>
      </c>
      <c r="DQ118" s="88" t="e">
        <f>IF($DN$6=2,ROUND(VLOOKUP(DV118,許容応力!$B$6:$K$22,9)*1.1/3*100,0),ROUND(VLOOKUP(DV118,許容応力!$B$6:$K$22,9)*1.1/3*100*1.3,0))</f>
        <v>#N/A</v>
      </c>
      <c r="DR118" s="87" t="e">
        <f>ROUND(VLOOKUP(DV118,許容応力!$B$6:$K$22,9)*100*2/3*0.8,0)</f>
        <v>#N/A</v>
      </c>
      <c r="DS118" s="87">
        <v>600</v>
      </c>
      <c r="DT118" s="87">
        <f>ROUND(I118*100/DS118,2)</f>
        <v>0</v>
      </c>
      <c r="DU118" s="87"/>
      <c r="DV118" s="87">
        <f>+VALUE(RIGHT(O118,3))</f>
        <v>0</v>
      </c>
      <c r="DW118" s="89">
        <f>ROUND(ATAN(E118/10)*180/PI(),4)</f>
        <v>0</v>
      </c>
      <c r="DX118" s="90">
        <f>ROUND(COS(DW118*PI()/180),3)</f>
        <v>1</v>
      </c>
      <c r="DY118" s="87">
        <v>225</v>
      </c>
      <c r="DZ118" s="87">
        <f>ROUND(I118*100/DY118,2)</f>
        <v>0</v>
      </c>
      <c r="EA118" s="87"/>
      <c r="EB118" s="87" t="e">
        <f>ROUNDUP((準備!$G$60/100+準備!$E$48/100)*($G118+$H118)/2,2)+IF(J116=0,0,IF(VALUE(RIGHT($J116,4))=1,$EQ118,0))</f>
        <v>#N/A</v>
      </c>
      <c r="EC118" s="87"/>
      <c r="ED118" s="87"/>
      <c r="EE118" s="87"/>
      <c r="EF118" s="87"/>
      <c r="EG118" s="87" t="e">
        <f>ROUND(DC118*I118*100/2/AK118,1)</f>
        <v>#N/A</v>
      </c>
      <c r="EH118" s="87" t="e">
        <f>ROUND(EG118/DQ118,2)</f>
        <v>#N/A</v>
      </c>
      <c r="EI118" s="87" t="e">
        <f>ROUND(DD118*I118*100/2/AK118,1)</f>
        <v>#DIV/0!</v>
      </c>
      <c r="EJ118" s="87" t="e">
        <f>ROUND(EI118/DR118,2)</f>
        <v>#DIV/0!</v>
      </c>
      <c r="EK118" s="63" t="e">
        <f>IF(ES118=2,0,ROUNDUP(IF(F118&gt;=F119,F118,F119)*EC118/#REF!,2))</f>
        <v>#VALUE!</v>
      </c>
      <c r="EL118" s="63" t="e">
        <f>IF(ES118=2,0,ROUNDUP(IF(F118&gt;=F119,F118,F119)*ED118/#REF!,2))</f>
        <v>#VALUE!</v>
      </c>
      <c r="EM118" s="87" t="str">
        <f>IF(E118=0,"",ROUND(DC118*I118*100/2/DO118,1))</f>
        <v/>
      </c>
      <c r="EN118" s="87" t="str">
        <f>IF(E118=0,"",ROUND(DD118*I118*100/2/DP118,1))</f>
        <v/>
      </c>
      <c r="EO118" s="87">
        <f>IF(L116=0,0,ROUNDUP((準備!$G$57/DX118+IF(AND(VALUE(RIGHT($G$3,4))=1,$T$3=2),CZ118/DX118*1.2,CZ118/DX118))*(K116+K117)/2*(L116+L117)/2,0))</f>
        <v>0</v>
      </c>
      <c r="EP118" s="87">
        <f>IF(L116=0,0,ROUNDUP((準備!$G$57/DX118+IF(AND(VALUE(RIGHT($G$3,4))=1,$T$3=2),DA118/DX118*1.2,DA118/DX118))*(K116+K117)/2*(L116+L117)/2,0))</f>
        <v>0</v>
      </c>
      <c r="EQ118" s="63">
        <f>IF(N119=0,0,VLOOKUP(VALUE(RIGHT(N118,4)),$M$600:$O$605,3)/10000*N119*100)</f>
        <v>0</v>
      </c>
      <c r="ER118" s="63">
        <f>IF(J118=0,0,IF(VALUE(RIGHT(J118,4))=2,0,ROUNDUP(N120*100*N121*100/(I118*100)*EO118/DK118,1)))</f>
        <v>0</v>
      </c>
      <c r="ES118" s="63" t="e">
        <f>IF(FC118=2,0,ROUNDUP(N120*N121/I118*100*EP118/DK118,1))</f>
        <v>#VALUE!</v>
      </c>
      <c r="ET118" s="63" t="e">
        <f>IF(FC118=2,0,IF(FC118=0,0,ROUNDUP(EO118*IF(N120&gt;=N121,N120,N121)*SQRT(POWER(ABS(POWER(N120,2)-POWER(N121,2)),3)/(9*SQRT(3)*EV118*DL118*I118)),2)))</f>
        <v>#VALUE!</v>
      </c>
      <c r="EU118" s="63" t="e">
        <f>IF(FC118=2,0,ROUNDUP(EP118*IF(N120&gt;=N121,N120,N121)*SQRT(POWER(ABS(POWER(N120,2)-POWER(N121,2)),3)/(9*SQRT(3)*EV118*DL118*I118)),2))</f>
        <v>#VALUE!</v>
      </c>
      <c r="EV118" s="63" t="e">
        <f>+VLOOKUP(DV118,許容応力!$B$6:$K$22,10)*100</f>
        <v>#N/A</v>
      </c>
      <c r="EW118" s="63" t="e">
        <f>IF(FC118=2,0,ROUNDUP(IF(N120&gt;=N121,N120,N121)*EO118/I118,0))</f>
        <v>#VALUE!</v>
      </c>
      <c r="EX118" s="63" t="e">
        <f>IF(FC118=2,0,ROUNDUP(IF(N120&gt;=N121,N120,N121)*EP118/I118,0))</f>
        <v>#VALUE!</v>
      </c>
      <c r="EY118" s="63" t="e">
        <f>ROUND(EW118*100/AK118,1)</f>
        <v>#VALUE!</v>
      </c>
      <c r="EZ118" s="63" t="e">
        <f>ROUND(EY118/DQ118,2)</f>
        <v>#VALUE!</v>
      </c>
      <c r="FA118" s="63" t="e">
        <f>ROUND(EX118*100/AK118,1)</f>
        <v>#VALUE!</v>
      </c>
      <c r="FB118" s="63" t="e">
        <f>ROUND(FA118/DR118,2)</f>
        <v>#VALUE!</v>
      </c>
      <c r="FC118" s="63" t="e">
        <f>+VALUE(RIGHT(J116,3))</f>
        <v>#VALUE!</v>
      </c>
      <c r="FD118" s="63">
        <f>IF($DN$6=2,400,200)</f>
        <v>200</v>
      </c>
      <c r="FE118" s="63">
        <f>ROUND(I118*100/FD118,2)</f>
        <v>0</v>
      </c>
      <c r="FF118" s="63">
        <v>200</v>
      </c>
      <c r="FG118" s="63">
        <f>ROUND(I118*100/FF118,2)</f>
        <v>0</v>
      </c>
      <c r="FH118" s="78" t="e">
        <f>ROUND(ET118/FE118,1)</f>
        <v>#VALUE!</v>
      </c>
      <c r="FI118" s="78" t="e">
        <f>ROUND(EU118/FG118,1)</f>
        <v>#VALUE!</v>
      </c>
      <c r="FJ118" s="78"/>
      <c r="FK118" s="63" t="e">
        <f>IF(FR118&lt;21,21,IF(AND(FR118&gt;21,FR118&lt;=24),24,IF(AND(FR118&gt;30,FR118&lt;=40),40,IF(AND(FR118&gt;40,FR118&lt;=45),45,IF(AND(FR118&gt;60,FR118&lt;=75),75,IF(AND(FR118&gt;90,FR118&lt;=105),105,IF(AND(FR118&gt;120,FR118&lt;=135),135,ROUNDUP(FR118/3,-1)*3)))))))</f>
        <v>#N/A</v>
      </c>
      <c r="FL118" s="63" t="e">
        <f>IF(FS118&lt;21,21,IF(AND(FS118&gt;21,FS118&lt;=24),24,IF(AND(FS118&gt;30,FS118&lt;=40),40,IF(AND(FS118&gt;40,FS118&lt;=45),45,IF(AND(FS118&gt;60,FS118&lt;=75),75,IF(AND(FS118&gt;90,FS118&lt;=105),105,IF(AND(FS118&gt;120,FS118&lt;=135),135,ROUNDUP(FS118/3,-1)*3)))))))</f>
        <v>#N/A</v>
      </c>
      <c r="FN118" s="63" t="e">
        <f>IF(FU118&lt;21,21,IF(AND(FU118&gt;21,FU118&lt;=24),24,IF(AND(FU118&gt;30,FU118&lt;=40),40,IF(AND(FU118&gt;40,FU118&lt;=45),45,IF(AND(FU118&gt;60,FU118&lt;=75),75,IF(AND(FU118&gt;90,FU118&lt;=105),105,IF(AND(FU118&gt;120,FU118&lt;=135),135,ROUNDUP(FU118/3,-1)*3)))))))</f>
        <v>#DIV/0!</v>
      </c>
      <c r="FO118" s="63" t="e">
        <f>IF(FV118&lt;21,21,IF(AND(FV118&gt;21,FV118&lt;=24),24,IF(AND(FV118&gt;30,FV118&lt;=40),40,IF(AND(FV118&gt;40,FV118&lt;=45),45,IF(AND(FV118&gt;60,FV118&lt;=75),75,IF(AND(FV118&gt;90,FV118&lt;=105),105,IF(AND(FV118&gt;120,FV118&lt;=135),135,ROUNDUP(FV118/3,-1)*3)))))))</f>
        <v>#VALUE!</v>
      </c>
      <c r="FP118" s="155" t="e">
        <f>+MAX(FK118:FO118)</f>
        <v>#N/A</v>
      </c>
      <c r="FQ118" s="2"/>
      <c r="FR118" s="87" t="e">
        <f>ROUND(SQRT(FX118/($P118/10)*6/IF(OR($S118=0,$S118=1),1,$S118))*10,0)</f>
        <v>#N/A</v>
      </c>
      <c r="FS118" s="87" t="e">
        <f>POWER(ROUND(FY118/($P118/10)*12/IF(OR($S118=0,$S118=1),1,$S118),0),1/3)*10</f>
        <v>#N/A</v>
      </c>
      <c r="FU118" s="87" t="e">
        <f>ROUND(SQRT(GA118/($P118/10)*6/IF(OR($S118=0,$S118=1),1,$S118))*10,0)</f>
        <v>#DIV/0!</v>
      </c>
      <c r="FV118" s="87" t="e">
        <f>POWER(ROUND(GB118/($P118/10)*12/IF(OR($S118=0,$S118=1),1,$S118),0),1/3)*10</f>
        <v>#VALUE!</v>
      </c>
      <c r="FW118" s="2"/>
      <c r="FX118" s="87" t="e">
        <f>ABS(ROUNDUP(($DC118*$I118*100*POWER($CW118,2)-2*($EQ116+$EO116*$I116*100*$CW118))/2/($I118*100)/$DM118,1))</f>
        <v>#N/A</v>
      </c>
      <c r="FY118" s="87" t="e">
        <f>ABS(ROUNDUP((5*$DC118*POWER($I118*100,4)-$DC118*POWER($I116*100,2)-24.6528*($GD116+IF(J116=0,0,IF(VALUE(RIGHT($J116,4))=1,$EO116*$I116*100*POWER($I118*100,2),0))))/(384*VLOOKUP(VALUE(RIGHT($O116,4)),許容応力!$B$6:$K$22,10)*100*$DT118),2))</f>
        <v>#N/A</v>
      </c>
      <c r="FZ118" s="87"/>
      <c r="GA118" s="87" t="e">
        <f>ABS(ROUNDUP(($DD118*$I118*100*POWER($CW118,2)-2*($EQ116+IF(J116=0,0,IF(VALUE(RIGHT($J116,4))=1,$EP116*$I116*100*$CW118,0))))/2/($I118*100)/$DN118,1))</f>
        <v>#DIV/0!</v>
      </c>
      <c r="GB118" s="87" t="e">
        <f>ABS(ROUNDUP((5*$DD118*POWER($I118*100,4)-$DD118*POWER($I116*100,2)-24.6528*($GD116+$EP116*$I116*100*POWER($I118*100,2)))/(384*VLOOKUP(VALUE(RIGHT($O116,4)),許容応力!$B$6:$K$22,10)*100*$DZ118),2))</f>
        <v>#VALUE!</v>
      </c>
    </row>
    <row r="119" spans="2:186" ht="15.95" customHeight="1" x14ac:dyDescent="0.15">
      <c r="B119" s="1514"/>
      <c r="C119" s="1499"/>
      <c r="D119" s="1502"/>
      <c r="E119" s="1509"/>
      <c r="F119" s="1511"/>
      <c r="G119" s="1359"/>
      <c r="H119" s="1359"/>
      <c r="I119" s="1359"/>
      <c r="J119" s="304"/>
      <c r="K119" s="300"/>
      <c r="L119" s="300"/>
      <c r="M119" s="310" t="s">
        <v>263</v>
      </c>
      <c r="N119" s="301"/>
      <c r="O119" s="1605"/>
      <c r="P119" s="1193">
        <f>+IF(O116=0,0,"丸太末口 φ")</f>
        <v>0</v>
      </c>
      <c r="Q119" s="1194"/>
      <c r="R119" s="239">
        <f>IF(O116=0,0,+FP119)</f>
        <v>0</v>
      </c>
      <c r="S119" s="1120"/>
      <c r="T119" s="240" t="str">
        <f>IF(AA119=+"","",IF(AND(AA119&lt;=1,AB119&lt;=1,AD119&lt;=1,AE119&lt;=1),"OK!","NO!"))</f>
        <v/>
      </c>
      <c r="U119" s="240">
        <f>IF(W119=0,0,IF(IF(AC119&gt;=AF119,AC119,AF119)&lt;=1,"OK!","NO!"))</f>
        <v>0</v>
      </c>
      <c r="V119" s="827"/>
      <c r="W119" s="159"/>
      <c r="X119" s="205">
        <f>IF(W119=0,0,+CT119)</f>
        <v>0</v>
      </c>
      <c r="Y119" s="205" t="str">
        <f>IF(X119=0,"",ROUND(POWER(W119*X119,2)/(IF(V119=0,(R119/10-6)*(R119/10-3),(V119/10-6)*(V119/10-3))),2))</f>
        <v/>
      </c>
      <c r="Z119" s="206" t="str">
        <f>IF(EM119&gt;=EN119,EM119,EN119)</f>
        <v/>
      </c>
      <c r="AA119" s="206" t="str">
        <f>IF(R119=0,"",ROUNDUP(DE119/DM119,2))</f>
        <v/>
      </c>
      <c r="AB119" s="206" t="str">
        <f>IF(R119=0,"",ROUND(DF119/DT119,2))</f>
        <v/>
      </c>
      <c r="AC119" s="206" t="str">
        <f>IF(W119=0,"",ROUND(DG119/DO119,2))</f>
        <v/>
      </c>
      <c r="AD119" s="206" t="str">
        <f>IF(R119=0,"",ROUNDUP(DH119/DN119,2))</f>
        <v/>
      </c>
      <c r="AE119" s="206" t="str">
        <f>IF(R119=0,"",ROUNDUP(DI119/DZ119,2))</f>
        <v/>
      </c>
      <c r="AF119" s="206" t="str">
        <f>IF(W119=0,"",ROUNDUP(DJ119/DP119,2))</f>
        <v/>
      </c>
      <c r="AG119" s="323"/>
      <c r="AH119" s="324"/>
      <c r="AI119" s="324"/>
      <c r="AJ119" s="324"/>
      <c r="AK119" s="325"/>
      <c r="AL119" s="325"/>
      <c r="AM119" s="589"/>
      <c r="AN119" s="184">
        <f>IF(I118=0,0,+AN116)</f>
        <v>0</v>
      </c>
      <c r="AO119" s="185">
        <f>IF(I118=0,0,+AO118)</f>
        <v>0</v>
      </c>
      <c r="CP119" s="9" t="e">
        <f>ROUNDUP((DC119*I118*100/2*4/3/DQ119),2)</f>
        <v>#N/A</v>
      </c>
      <c r="CQ119" s="9" t="e">
        <f>ROUNDUP((DD119*I118*100/2*4/3/DR119),2)</f>
        <v>#N/A</v>
      </c>
      <c r="CR119" s="23" t="e">
        <f>IF(CP119&gt;=CQ119,CP119,CQ119)</f>
        <v>#N/A</v>
      </c>
      <c r="CS119" s="23" t="e">
        <f>IF(CP119&gt;=CQ119,CP119,CQ119)</f>
        <v>#N/A</v>
      </c>
      <c r="CT119" s="9">
        <f>IF(R119=0,0,ROUNDUP(SQRT(IF(V119=0,(Z119*(R119/10-6)*(R119/10-3)),(Z119*(V119/10-6)*(V119/10-3)))/(W119*W119)),2))</f>
        <v>0</v>
      </c>
      <c r="CU119" s="9"/>
      <c r="CV119" s="23"/>
      <c r="CW119" s="23"/>
      <c r="CY119" s="63"/>
      <c r="CZ119" s="63">
        <f>ROUNDUP(IF(VALUE(RIGHT($G$3,3))=1,DA119*0.7,0),0)</f>
        <v>0</v>
      </c>
      <c r="DA119" s="63" t="e">
        <f>ROUNDUP(IF(VALUE(RIGHT($G$3,4))=1,$I$3*30*F118*100,$I$3*20*F118*100),0)</f>
        <v>#VALUE!</v>
      </c>
      <c r="DB119" s="63"/>
      <c r="DC119" s="78" t="e">
        <f>ROUNDUP((準備!$G$60/100+準備!$D$48/100)*($G118+$H118)/2,2)+IF($M121=0,0,$EQ119)</f>
        <v>#N/A</v>
      </c>
      <c r="DD119" s="78">
        <f>ROUNDUP((準備!$G$60/100+6)*(G118+H118)/2,2)+IF(M121=0,0,EQ119)</f>
        <v>0</v>
      </c>
      <c r="DE119" s="87" t="e">
        <f>ABS(ROUNDUP(($DC119*$I118*100*POWER($CW118,2)-2*($GD117+$EO116*$I116*100*$CW118))/2/($I118*100)/$DK119,1))</f>
        <v>#N/A</v>
      </c>
      <c r="DF119" s="87" t="e">
        <f>ABS(ROUNDUP((5*$DC119*POWER($I118*100,4)-$DC119*POWER($I116*100,2)-24.6528*($GD116+IF(J116=0,0,IF(VALUE(RIGHT($J116,4))=1,$EO117*$I116*100*POWER($I118*100,2),0))))/(384*VLOOKUP(VALUE(RIGHT($O116,4)),許容応力!$B$6:$K$22,10)*100*$DL119*100),2))</f>
        <v>#N/A</v>
      </c>
      <c r="DG119" s="87" t="e">
        <f>ROUND(($DC119*($I118*100-$CW118)+(GD116*I116*100/(I118*100)+IF(J116=0,0,IF(VALUE(RIGHT($J116,4))=1,$EO116*$I116*100/($I118*100),0))))/($Y119*3*2),1)</f>
        <v>#N/A</v>
      </c>
      <c r="DH119" s="87" t="e">
        <f>ABS(ROUNDUP(($DD119*$I118*100*POWER($CW118,2)-2*($GD116+IF(J116=0,0,IF(VALUE(RIGHT($J116,4))=1,$EP116*$I116*100*$CW118,0))))/2/($I118*100)/$DK119,1))</f>
        <v>#DIV/0!</v>
      </c>
      <c r="DI119" s="87" t="e">
        <f>ABS(ROUNDUP((5*$DD119*POWER($I118*100,4)-$DD119*POWER($I116*100,2)-24.6528*($GD116+$EP117*$I116*100*POWER($I118*100,2)))/(384*VLOOKUP(VALUE(RIGHT($O116,4)),許容応力!$B$6:$K$22,10)*100*$DL119*100),2))</f>
        <v>#VALUE!</v>
      </c>
      <c r="DJ119" s="87" t="e">
        <f>ROUND(($DD119*($I118*100-$CW118)+(GD116*I116*100/(I118*100)+IF(J116=0,0,IF(VALUE(RIGHT($J116,4))=1,$EP116*$I116*100/($I118*100),0))))/($Y119*3*2),1)</f>
        <v>#DIV/0!</v>
      </c>
      <c r="DK119" s="63">
        <f>ROUNDDOWN(PI()*POWER($R119/2/10,2)*($R119/10-IF($R119&lt;180,2,6))/4*IF(OR($S119=0,$S119=1),1,$S119),0)</f>
        <v>0</v>
      </c>
      <c r="DL119" s="63">
        <f>ROUNDDOWN(PI()*POWER($R119/2/10,3)*($R119/10-IF($R119&lt;180,0,6))/4*IF(OR($S119=0,$S119=1),1,$S119),0)</f>
        <v>0</v>
      </c>
      <c r="DM119" s="10" t="e">
        <f>IF($DN$6=2,ROUND(VLOOKUP(DV119,許容応力!$L$6:$U$22,7)*1.1/3*100,0),ROUND(VLOOKUP(DV119,許容応力!$L$6:$U$22,7)*1.1/3*1.3*100,0))</f>
        <v>#N/A</v>
      </c>
      <c r="DN119" s="63" t="e">
        <f>ROUND(VLOOKUP(DV119,許容応力!$L$6:$U$22,7)*100*2/3*0.8,0)</f>
        <v>#N/A</v>
      </c>
      <c r="DO119" s="10" t="e">
        <f>IF($DN$6=2,ROUND(VLOOKUP(DV119,許容応力!$L$6:$U$22,8)*1.1/3*100,0),ROUND(VLOOKUP(DV119,許容応力!$L$6:$U$22,8)*1.1/3*1.3*100,0))</f>
        <v>#N/A</v>
      </c>
      <c r="DP119" s="63" t="e">
        <f>ROUND(VLOOKUP(DV119,許容応力!$L$6:$U$22,8)*100*2/3*0.8,0)</f>
        <v>#N/A</v>
      </c>
      <c r="DQ119" s="10" t="e">
        <f>IF($DN$6=2,ROUND(VLOOKUP(DV119,許容応力!$L$6:$U$22,9)*1.1/3*100,0),ROUND(VLOOKUP(DV119,許容応力!$L$6:$U$22,9)*1.1/3*1.3*100,0))</f>
        <v>#N/A</v>
      </c>
      <c r="DR119" s="63" t="e">
        <f>ROUND(VLOOKUP(DV119,許容応力!$L$6:$U$22,9)*100*2/3*0.8,0)</f>
        <v>#N/A</v>
      </c>
      <c r="DS119" s="63">
        <v>600</v>
      </c>
      <c r="DT119" s="63">
        <f>ROUND(I118*100/DS119,2)</f>
        <v>0</v>
      </c>
      <c r="DU119" s="63"/>
      <c r="DV119" s="78">
        <f>+VALUE(RIGHT(O118,3))</f>
        <v>0</v>
      </c>
      <c r="DW119" s="69">
        <f>ROUND(ATAN(E118/10)*180/PI(),4)</f>
        <v>0</v>
      </c>
      <c r="DX119" s="70">
        <f>ROUND(COS(DW119*PI()/180),3)</f>
        <v>1</v>
      </c>
      <c r="DY119" s="63">
        <v>225</v>
      </c>
      <c r="DZ119" s="63">
        <f>ROUND(I118*100/DY119,2)</f>
        <v>0</v>
      </c>
      <c r="EA119" s="63"/>
      <c r="EB119" s="78" t="e">
        <f>ROUNDUP((準備!$G$60/100+準備!$E$48/100)*($G118+$H118)/2,2)+IF(J116=0,0,IF(VALUE(RIGHT($J116,4))=1,$EQ119,0))</f>
        <v>#N/A</v>
      </c>
      <c r="EC119" s="63"/>
      <c r="ED119" s="71">
        <f>IF(I118&lt;6,POWER(R119/10,2)*I118/10000,POWER((R119/10+(ROUNDDOWN(I118,0)-4)/2),2)*I118/10000)</f>
        <v>0</v>
      </c>
      <c r="EE119" s="63">
        <v>200</v>
      </c>
      <c r="EF119" s="84">
        <f>ROUND(ED119*EE119/100,0)</f>
        <v>0</v>
      </c>
      <c r="EG119" s="63" t="e">
        <f>ROUND((DC119*I118*100/2+EF119)/AK119,1)</f>
        <v>#N/A</v>
      </c>
      <c r="EH119" s="63" t="e">
        <f>ROUND(EG119/DQ119,2)</f>
        <v>#N/A</v>
      </c>
      <c r="EI119" s="63" t="e">
        <f>ROUND((DD119*I118*100/2+EF119)/AK119,1)</f>
        <v>#DIV/0!</v>
      </c>
      <c r="EJ119" s="63" t="e">
        <f>ROUND(EI119/DR119,2)</f>
        <v>#DIV/0!</v>
      </c>
      <c r="EK119" s="63" t="e">
        <f>ROUNDUP(IF(F118&gt;=F119,F118,F119)*EC119/#REF!,2)</f>
        <v>#VALUE!</v>
      </c>
      <c r="EL119" s="63" t="e">
        <f>ROUNDUP(IF(F118&gt;=F119,F118,F119)*ED119/#REF!,2)</f>
        <v>#VALUE!</v>
      </c>
      <c r="EM119" s="87" t="str">
        <f>IF(E118=0,"",ROUND(DC119*I118*100/2/DO119,1))</f>
        <v/>
      </c>
      <c r="EN119" s="87" t="str">
        <f>IF(E118=0,"",ROUND(DD119*I118*100/2/DP119,1))</f>
        <v/>
      </c>
      <c r="EO119" s="63">
        <f>IF(L116=0,0,ROUNDUP((準備!$G$57/DX119+IF(AND(VALUE(RIGHT($G$3,4))=1,$T$3=2),CZ119/DX119*1.2,CZ119/DX119))*(K116+K117)/2*(L116+L117)/2,0))</f>
        <v>0</v>
      </c>
      <c r="EP119" s="63">
        <f>IF(L116=0,0,ROUNDUP((準備!$G$57/DX119+IF(AND(VALUE(RIGHT($G$3,4))=1,$T$3=2),DA119/DX119*1.2,DA119/DX119))*(K116+K117)/2*(L116+L117)/2,0))</f>
        <v>0</v>
      </c>
      <c r="EQ119" s="63">
        <f>+EQ118</f>
        <v>0</v>
      </c>
      <c r="ER119" s="63" t="e">
        <f>IF(VALUE(RIGHT(J118,4))=2,0,ROUNDUP(N120*100*N121*100/(I118*100)*EO119/DK119,1))</f>
        <v>#VALUE!</v>
      </c>
      <c r="ES119" s="63" t="e">
        <f>IF(FC119=2,0,ROUNDUP(N290*N121/I118*100*EP119/DK119,1))</f>
        <v>#VALUE!</v>
      </c>
      <c r="ET119" s="63" t="e">
        <f>ROUNDUP(EO119*IF(N120&gt;=N121,N120*100,N121*100)*SQRT(POWER(ABS(POWER(N120,2)-POWER(N121,2)),3)/(9*SQRT(3)*EV119*DL119*I118)),2)</f>
        <v>#N/A</v>
      </c>
      <c r="EU119" s="63" t="e">
        <f>ROUNDUP(EP119*IF(N120&gt;=N121,N120*100,N121*100)*SQRT(POWER(ABS(POWER(N120,2)-POWER(N121,2)),3)/(9*SQRT(3)*EV119*DL119*I118)),2)</f>
        <v>#N/A</v>
      </c>
      <c r="EV119" s="63" t="e">
        <f>+VLOOKUP(DV119,許容応力!$L$6:$V$22,10)*100</f>
        <v>#N/A</v>
      </c>
      <c r="EW119" s="63" t="e">
        <f>ROUNDUP(IF(N120&gt;=N121,N120,N121)*EO119/I118,0)</f>
        <v>#DIV/0!</v>
      </c>
      <c r="EX119" s="63" t="e">
        <f>ROUNDUP(IF(N120&gt;=N121,N120,N121)*EP119/I118,0)</f>
        <v>#DIV/0!</v>
      </c>
      <c r="EY119" s="63" t="e">
        <f>ROUND(EW119*100/AK119,1)</f>
        <v>#DIV/0!</v>
      </c>
      <c r="EZ119" s="63" t="e">
        <f>ROUND(EY119/DQ119,2)</f>
        <v>#DIV/0!</v>
      </c>
      <c r="FA119" s="63" t="e">
        <f>ROUND(EX119*100/AK119,1)</f>
        <v>#DIV/0!</v>
      </c>
      <c r="FB119" s="63" t="e">
        <f>ROUND(FA119/DR119,2)</f>
        <v>#DIV/0!</v>
      </c>
      <c r="FC119" s="63" t="e">
        <f>+VALUE(RIGHT(J116,3))</f>
        <v>#VALUE!</v>
      </c>
      <c r="FD119" s="63">
        <f>IF($DN$6=2,400,200)</f>
        <v>200</v>
      </c>
      <c r="FE119" s="63">
        <f>ROUND(I118*100/FD119,2)</f>
        <v>0</v>
      </c>
      <c r="FF119" s="78">
        <v>200</v>
      </c>
      <c r="FG119" s="63">
        <f>ROUND(I118*100/FF119,2)</f>
        <v>0</v>
      </c>
      <c r="FH119" s="78" t="e">
        <f>ROUND(ET119/FE119,1)</f>
        <v>#N/A</v>
      </c>
      <c r="FI119" s="78" t="e">
        <f>ROUND(EU119/FG119,1)</f>
        <v>#N/A</v>
      </c>
      <c r="FJ119" s="78"/>
      <c r="FK119" s="63" t="e">
        <f>IF(FR119&lt;42,60,VLOOKUP(FR119,$CR$301:$CS$344,2))</f>
        <v>#N/A</v>
      </c>
      <c r="FL119" s="63" t="e">
        <f>VLOOKUP(FS119,$CT$301:$CU$344,2)</f>
        <v>#N/A</v>
      </c>
      <c r="FN119" s="63" t="e">
        <f>IF(FU119&lt;42,60,VLOOKUP(FU119,$CR$301:$CS$344,2))</f>
        <v>#DIV/0!</v>
      </c>
      <c r="FO119" s="63" t="e">
        <f>VLOOKUP(FV119,$CT$301:$CU$344,2)</f>
        <v>#VALUE!</v>
      </c>
      <c r="FP119" s="155" t="e">
        <f>+MAX(FK119:FO119)</f>
        <v>#N/A</v>
      </c>
      <c r="FQ119" s="2"/>
      <c r="FR119" s="87" t="e">
        <f>ABS(ROUNDUP(($DC119*$I118*100*POWER($CW118,2)-2*($GD117+$EO116*$I116*100*$CW118))/2/($I118*100)/$DM119,1))</f>
        <v>#N/A</v>
      </c>
      <c r="FS119" s="87" t="e">
        <f>ABS(ROUNDUP((5*$DC119*POWER($I118*100,4)-$DC119*POWER($I116*100,2)-24.6528*($GD116+IF(J116=0,0,IF(VALUE(RIGHT($J116,4))=1,$EO117*$I116*100*POWER($I118*100,2),0))))/(384*VLOOKUP(VALUE(RIGHT($O116,4)),許容応力!$B$6:$K$22,10)*100*$DT119),2))</f>
        <v>#N/A</v>
      </c>
      <c r="FT119" s="87"/>
      <c r="FU119" s="87" t="e">
        <f>ABS(ROUNDUP(($DD119*$I118*100*POWER($CW118,2)-2*($GD116+IF(J116=0,0,IF(VALUE(RIGHT($J116,4))=1,$EP116*$I116*100*$CW118,0))))/2/($I118*100)/$DN119,1))</f>
        <v>#DIV/0!</v>
      </c>
      <c r="FV119" s="87" t="e">
        <f>ABS(ROUNDUP((5*$DD119*POWER($I118*100,4)-$DD119*POWER($I116*100,2)-24.6528*($GD116+$EP117*$I116*100*POWER($I118*100,2)))/(384*VLOOKUP(VALUE(RIGHT($O116,4)),許容応力!$B$6:$K$22,10)*100*$DZ119),2))</f>
        <v>#VALUE!</v>
      </c>
      <c r="FW119" s="2"/>
      <c r="FX119" s="2"/>
    </row>
    <row r="120" spans="2:186" ht="15.95" customHeight="1" x14ac:dyDescent="0.15">
      <c r="B120" s="1514"/>
      <c r="C120" s="1368"/>
      <c r="D120" s="298"/>
      <c r="E120" s="176"/>
      <c r="F120" s="313"/>
      <c r="G120" s="1382" t="s">
        <v>714</v>
      </c>
      <c r="H120" s="1594" t="s">
        <v>733</v>
      </c>
      <c r="I120" s="233" t="s">
        <v>845</v>
      </c>
      <c r="J120" s="1145"/>
      <c r="K120" s="1594" t="s">
        <v>719</v>
      </c>
      <c r="L120" s="1606"/>
      <c r="M120" s="311" t="s">
        <v>254</v>
      </c>
      <c r="N120" s="312"/>
      <c r="O120" s="302"/>
      <c r="P120" s="302"/>
      <c r="Q120" s="302"/>
      <c r="R120" s="302"/>
      <c r="S120" s="302"/>
      <c r="T120" s="302"/>
      <c r="U120" s="302"/>
      <c r="V120" s="302"/>
      <c r="W120" s="302"/>
      <c r="X120" s="302"/>
      <c r="Y120" s="302"/>
      <c r="Z120" s="302"/>
      <c r="AA120" s="302"/>
      <c r="AB120" s="302"/>
      <c r="AC120" s="302"/>
      <c r="AD120" s="302"/>
      <c r="AE120" s="302"/>
      <c r="AF120" s="176"/>
      <c r="AG120" s="302"/>
      <c r="AH120" s="302"/>
      <c r="AI120" s="302"/>
      <c r="AJ120" s="302"/>
      <c r="AK120" s="302"/>
      <c r="AL120" s="302"/>
      <c r="AM120" s="181"/>
      <c r="AN120" s="662"/>
      <c r="AO120" s="379"/>
      <c r="CP120" s="9"/>
      <c r="CQ120" s="9"/>
      <c r="CR120" s="23"/>
      <c r="CS120" s="23"/>
      <c r="CT120" s="9"/>
      <c r="CU120" s="9"/>
      <c r="CV120" s="23"/>
      <c r="CZ120" s="3">
        <f>+CZ70</f>
        <v>0</v>
      </c>
      <c r="DA120" s="3">
        <f t="shared" ref="DA120:FI120" si="288">+DA70</f>
        <v>0</v>
      </c>
      <c r="DB120" s="3">
        <f t="shared" si="288"/>
        <v>0</v>
      </c>
      <c r="DC120" s="3">
        <f t="shared" si="288"/>
        <v>0</v>
      </c>
      <c r="DD120" s="3">
        <f t="shared" si="288"/>
        <v>0</v>
      </c>
      <c r="DE120" s="3">
        <f t="shared" si="288"/>
        <v>0</v>
      </c>
      <c r="DF120" s="3">
        <f t="shared" si="288"/>
        <v>0</v>
      </c>
      <c r="DG120" s="3">
        <f t="shared" si="288"/>
        <v>0</v>
      </c>
      <c r="DH120" s="3">
        <f t="shared" si="288"/>
        <v>0</v>
      </c>
      <c r="DI120" s="3">
        <f t="shared" si="288"/>
        <v>0</v>
      </c>
      <c r="DJ120" s="3">
        <f t="shared" si="288"/>
        <v>0</v>
      </c>
      <c r="DK120" s="3">
        <f t="shared" si="288"/>
        <v>0</v>
      </c>
      <c r="DL120" s="3">
        <f t="shared" si="288"/>
        <v>0</v>
      </c>
      <c r="DM120" s="3">
        <f t="shared" si="288"/>
        <v>0</v>
      </c>
      <c r="DN120" s="3">
        <f t="shared" si="288"/>
        <v>0</v>
      </c>
      <c r="DO120" s="3">
        <f t="shared" si="288"/>
        <v>0</v>
      </c>
      <c r="DP120" s="3">
        <f t="shared" si="288"/>
        <v>0</v>
      </c>
      <c r="DQ120" s="3">
        <f t="shared" si="288"/>
        <v>0</v>
      </c>
      <c r="DR120" s="3">
        <f t="shared" si="288"/>
        <v>0</v>
      </c>
      <c r="DS120" s="3">
        <f t="shared" si="288"/>
        <v>0</v>
      </c>
      <c r="DT120" s="3">
        <f t="shared" si="288"/>
        <v>0</v>
      </c>
      <c r="DU120" s="3">
        <f t="shared" si="288"/>
        <v>0</v>
      </c>
      <c r="DV120" s="3">
        <f t="shared" si="288"/>
        <v>0</v>
      </c>
      <c r="DW120" s="3">
        <f t="shared" si="288"/>
        <v>0</v>
      </c>
      <c r="DX120" s="3">
        <f t="shared" si="288"/>
        <v>0</v>
      </c>
      <c r="DY120" s="3">
        <f t="shared" si="288"/>
        <v>0</v>
      </c>
      <c r="DZ120" s="3">
        <f t="shared" si="288"/>
        <v>0</v>
      </c>
      <c r="EA120" s="3">
        <f t="shared" si="288"/>
        <v>0</v>
      </c>
      <c r="EB120" s="3">
        <f t="shared" si="288"/>
        <v>0</v>
      </c>
      <c r="EC120" s="3">
        <f t="shared" si="288"/>
        <v>0</v>
      </c>
      <c r="ED120" s="3">
        <f t="shared" si="288"/>
        <v>0</v>
      </c>
      <c r="EE120" s="3">
        <f t="shared" si="288"/>
        <v>0</v>
      </c>
      <c r="EF120" s="3">
        <f t="shared" si="288"/>
        <v>0</v>
      </c>
      <c r="EG120" s="3">
        <f t="shared" si="288"/>
        <v>0</v>
      </c>
      <c r="EH120" s="3">
        <f t="shared" si="288"/>
        <v>0</v>
      </c>
      <c r="EI120" s="3">
        <f t="shared" si="288"/>
        <v>0</v>
      </c>
      <c r="EJ120" s="3">
        <f t="shared" si="288"/>
        <v>0</v>
      </c>
      <c r="EK120" s="3">
        <f t="shared" si="288"/>
        <v>0</v>
      </c>
      <c r="EL120" s="3">
        <f t="shared" si="288"/>
        <v>0</v>
      </c>
      <c r="EM120" s="3">
        <f t="shared" si="288"/>
        <v>0</v>
      </c>
      <c r="EN120" s="3">
        <f t="shared" si="288"/>
        <v>0</v>
      </c>
      <c r="EO120" s="3">
        <f t="shared" si="288"/>
        <v>0</v>
      </c>
      <c r="EP120" s="3">
        <f t="shared" si="288"/>
        <v>0</v>
      </c>
      <c r="EQ120" s="3">
        <f t="shared" si="288"/>
        <v>0</v>
      </c>
      <c r="ER120" s="3">
        <f t="shared" si="288"/>
        <v>0</v>
      </c>
      <c r="ES120" s="3">
        <f t="shared" si="288"/>
        <v>0</v>
      </c>
      <c r="ET120" s="3">
        <f t="shared" si="288"/>
        <v>0</v>
      </c>
      <c r="EU120" s="3">
        <f t="shared" si="288"/>
        <v>0</v>
      </c>
      <c r="EV120" s="3">
        <f t="shared" si="288"/>
        <v>0</v>
      </c>
      <c r="EW120" s="3">
        <f t="shared" si="288"/>
        <v>0</v>
      </c>
      <c r="EX120" s="3">
        <f t="shared" si="288"/>
        <v>0</v>
      </c>
      <c r="EY120" s="3">
        <f t="shared" si="288"/>
        <v>0</v>
      </c>
      <c r="EZ120" s="3">
        <f t="shared" si="288"/>
        <v>0</v>
      </c>
      <c r="FA120" s="3">
        <f t="shared" si="288"/>
        <v>0</v>
      </c>
      <c r="FB120" s="3">
        <f t="shared" si="288"/>
        <v>0</v>
      </c>
      <c r="FC120" s="3">
        <f t="shared" si="288"/>
        <v>0</v>
      </c>
      <c r="FD120" s="3">
        <f t="shared" si="288"/>
        <v>0</v>
      </c>
      <c r="FE120" s="3">
        <f t="shared" si="288"/>
        <v>0</v>
      </c>
      <c r="FF120" s="3">
        <f t="shared" si="288"/>
        <v>0</v>
      </c>
      <c r="FG120" s="3">
        <f t="shared" si="288"/>
        <v>0</v>
      </c>
      <c r="FH120" s="3">
        <f t="shared" si="288"/>
        <v>0</v>
      </c>
      <c r="FI120" s="3">
        <f t="shared" si="288"/>
        <v>0</v>
      </c>
    </row>
    <row r="121" spans="2:186" ht="15.95" customHeight="1" thickBot="1" x14ac:dyDescent="0.2">
      <c r="B121" s="1514"/>
      <c r="C121" s="1500"/>
      <c r="D121" s="299"/>
      <c r="E121" s="225"/>
      <c r="F121" s="297"/>
      <c r="G121" s="1176"/>
      <c r="H121" s="1595"/>
      <c r="I121" s="232" t="s">
        <v>846</v>
      </c>
      <c r="J121" s="133"/>
      <c r="K121" s="1595"/>
      <c r="L121" s="1607"/>
      <c r="M121" s="307" t="s">
        <v>255</v>
      </c>
      <c r="N121" s="308"/>
      <c r="O121" s="225"/>
      <c r="P121" s="225"/>
      <c r="Q121" s="225"/>
      <c r="R121" s="225"/>
      <c r="S121" s="225"/>
      <c r="T121" s="225"/>
      <c r="U121" s="225"/>
      <c r="V121" s="225"/>
      <c r="W121" s="225"/>
      <c r="X121" s="225"/>
      <c r="Y121" s="225"/>
      <c r="Z121" s="225"/>
      <c r="AA121" s="225"/>
      <c r="AB121" s="225"/>
      <c r="AC121" s="225"/>
      <c r="AD121" s="225"/>
      <c r="AE121" s="225"/>
      <c r="AF121" s="225"/>
      <c r="AG121" s="225"/>
      <c r="AH121" s="225"/>
      <c r="AI121" s="225"/>
      <c r="AJ121" s="225"/>
      <c r="AK121" s="225"/>
      <c r="AL121" s="225"/>
      <c r="AM121" s="175"/>
      <c r="AN121" s="663"/>
      <c r="AO121" s="175"/>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P121" s="9"/>
      <c r="CQ121" s="9"/>
      <c r="CR121" s="23"/>
      <c r="CS121" s="23"/>
      <c r="CT121" s="9"/>
      <c r="CU121" s="9"/>
      <c r="CV121" s="23"/>
      <c r="CZ121" s="3">
        <f>+CZ71</f>
        <v>0</v>
      </c>
      <c r="DA121" s="3" t="str">
        <f t="shared" ref="DA121:FI121" si="289">+DA71</f>
        <v>短期</v>
      </c>
      <c r="DB121" s="3">
        <f t="shared" si="289"/>
        <v>0</v>
      </c>
      <c r="DC121" s="3">
        <f t="shared" si="289"/>
        <v>0</v>
      </c>
      <c r="DD121" s="3">
        <f t="shared" si="289"/>
        <v>0</v>
      </c>
      <c r="DE121" s="3">
        <f t="shared" si="289"/>
        <v>0</v>
      </c>
      <c r="DF121" s="3">
        <f t="shared" si="289"/>
        <v>0</v>
      </c>
      <c r="DG121" s="3">
        <f t="shared" si="289"/>
        <v>0</v>
      </c>
      <c r="DH121" s="3">
        <f t="shared" si="289"/>
        <v>0</v>
      </c>
      <c r="DI121" s="3">
        <f t="shared" si="289"/>
        <v>0</v>
      </c>
      <c r="DJ121" s="3">
        <f t="shared" si="289"/>
        <v>0</v>
      </c>
      <c r="DK121" s="3">
        <f t="shared" si="289"/>
        <v>0</v>
      </c>
      <c r="DL121" s="3">
        <f t="shared" si="289"/>
        <v>0</v>
      </c>
      <c r="DM121" s="3">
        <f t="shared" si="289"/>
        <v>0</v>
      </c>
      <c r="DN121" s="3">
        <f t="shared" si="289"/>
        <v>0</v>
      </c>
      <c r="DO121" s="3">
        <f t="shared" si="289"/>
        <v>0</v>
      </c>
      <c r="DP121" s="3" t="str">
        <f t="shared" si="289"/>
        <v>たわみ長</v>
      </c>
      <c r="DQ121" s="3" t="str">
        <f t="shared" si="289"/>
        <v>たわみ短</v>
      </c>
      <c r="DR121" s="3">
        <f t="shared" si="289"/>
        <v>0</v>
      </c>
      <c r="DS121" s="3">
        <f t="shared" si="289"/>
        <v>0</v>
      </c>
      <c r="DT121" s="3">
        <f t="shared" si="289"/>
        <v>0</v>
      </c>
      <c r="DU121" s="3">
        <f t="shared" si="289"/>
        <v>0</v>
      </c>
      <c r="DV121" s="3">
        <f t="shared" si="289"/>
        <v>0</v>
      </c>
      <c r="DW121" s="3">
        <f t="shared" si="289"/>
        <v>0</v>
      </c>
      <c r="DX121" s="3">
        <f t="shared" si="289"/>
        <v>0</v>
      </c>
      <c r="DY121" s="3">
        <f t="shared" si="289"/>
        <v>0</v>
      </c>
      <c r="DZ121" s="3">
        <f t="shared" si="289"/>
        <v>0</v>
      </c>
      <c r="EA121" s="3">
        <f t="shared" si="289"/>
        <v>0</v>
      </c>
      <c r="EB121" s="3">
        <f t="shared" si="289"/>
        <v>0</v>
      </c>
      <c r="EC121" s="3">
        <f t="shared" si="289"/>
        <v>0</v>
      </c>
      <c r="ED121" s="3">
        <f t="shared" si="289"/>
        <v>0</v>
      </c>
      <c r="EE121" s="3">
        <f t="shared" si="289"/>
        <v>0</v>
      </c>
      <c r="EF121" s="3">
        <f t="shared" si="289"/>
        <v>0</v>
      </c>
      <c r="EG121" s="3">
        <f t="shared" si="289"/>
        <v>0</v>
      </c>
      <c r="EH121" s="3">
        <f t="shared" si="289"/>
        <v>0</v>
      </c>
      <c r="EI121" s="3">
        <f t="shared" si="289"/>
        <v>0</v>
      </c>
      <c r="EJ121" s="3">
        <f t="shared" si="289"/>
        <v>0</v>
      </c>
      <c r="EK121" s="3">
        <f t="shared" si="289"/>
        <v>0</v>
      </c>
      <c r="EL121" s="3">
        <f t="shared" si="289"/>
        <v>0</v>
      </c>
      <c r="EM121" s="3">
        <f t="shared" si="289"/>
        <v>0</v>
      </c>
      <c r="EN121" s="3">
        <f t="shared" si="289"/>
        <v>0</v>
      </c>
      <c r="EO121" s="3">
        <f t="shared" si="289"/>
        <v>0</v>
      </c>
      <c r="EP121" s="3">
        <f t="shared" si="289"/>
        <v>0</v>
      </c>
      <c r="EQ121" s="3">
        <f t="shared" si="289"/>
        <v>0</v>
      </c>
      <c r="ER121" s="3">
        <f t="shared" si="289"/>
        <v>0</v>
      </c>
      <c r="ES121" s="3">
        <f t="shared" si="289"/>
        <v>0</v>
      </c>
      <c r="ET121" s="3" t="e">
        <f t="shared" si="289"/>
        <v>#REF!</v>
      </c>
      <c r="EU121" s="3" t="e">
        <f t="shared" si="289"/>
        <v>#REF!</v>
      </c>
      <c r="EV121" s="3">
        <f t="shared" si="289"/>
        <v>0</v>
      </c>
      <c r="EW121" s="3">
        <f t="shared" si="289"/>
        <v>0</v>
      </c>
      <c r="EX121" s="3">
        <f t="shared" si="289"/>
        <v>0</v>
      </c>
      <c r="EY121" s="3">
        <f t="shared" si="289"/>
        <v>0</v>
      </c>
      <c r="EZ121" s="3">
        <f t="shared" si="289"/>
        <v>0</v>
      </c>
      <c r="FA121" s="3">
        <f t="shared" si="289"/>
        <v>0</v>
      </c>
      <c r="FB121" s="3">
        <f t="shared" si="289"/>
        <v>0</v>
      </c>
      <c r="FC121" s="3">
        <f t="shared" si="289"/>
        <v>0</v>
      </c>
      <c r="FD121" s="3">
        <f t="shared" si="289"/>
        <v>0</v>
      </c>
      <c r="FE121" s="3">
        <f t="shared" si="289"/>
        <v>0</v>
      </c>
      <c r="FF121" s="3">
        <f t="shared" si="289"/>
        <v>0</v>
      </c>
      <c r="FG121" s="3">
        <f t="shared" si="289"/>
        <v>0</v>
      </c>
      <c r="FH121" s="3">
        <f t="shared" si="289"/>
        <v>0</v>
      </c>
      <c r="FI121" s="3">
        <f t="shared" si="289"/>
        <v>0</v>
      </c>
    </row>
    <row r="122" spans="2:186" ht="15.95" customHeight="1" thickBot="1" x14ac:dyDescent="0.2">
      <c r="B122" s="1514"/>
      <c r="C122" s="1498" t="s">
        <v>850</v>
      </c>
      <c r="D122" s="1501" t="s">
        <v>714</v>
      </c>
      <c r="E122" s="296"/>
      <c r="F122" s="572" t="str">
        <f>IF(E122=0,"",ROUND(SQRT(COS(DW122*1.5*PI()/180)),3))</f>
        <v/>
      </c>
      <c r="G122" s="1358"/>
      <c r="H122" s="1358"/>
      <c r="I122" s="1358"/>
      <c r="J122" s="1608"/>
      <c r="K122" s="131"/>
      <c r="L122" s="132"/>
      <c r="M122" s="314" t="s">
        <v>259</v>
      </c>
      <c r="N122" s="1146"/>
      <c r="O122" s="1569"/>
      <c r="P122" s="1125"/>
      <c r="Q122" s="197">
        <f>+IF(P122=0,0,"×")</f>
        <v>0</v>
      </c>
      <c r="R122" s="245">
        <f>IF(P122=0,0,+FP122)</f>
        <v>0</v>
      </c>
      <c r="S122" s="1123"/>
      <c r="T122" s="246" t="str">
        <f>IF(AA122=+"","",IF(AND(AA122&lt;=1,AB122&lt;=1,AD122&lt;=1,AE122&lt;=1),"OK!","NO!"))</f>
        <v/>
      </c>
      <c r="U122" s="246">
        <f>IF(W122=0,0,IF(IF(AC122&gt;=AF122,AC122,AF122)&lt;=1,"OK!","NO!"))</f>
        <v>0</v>
      </c>
      <c r="V122" s="826"/>
      <c r="W122" s="161"/>
      <c r="X122" s="202">
        <f>IF(W122=0,0,+CT122)</f>
        <v>0</v>
      </c>
      <c r="Y122" s="202">
        <f>IF(X122=0,0,ROUND(POWER(W122*X122,2)/(P122/10*IF(V122=0,R122/10,V122/10)),2))</f>
        <v>0</v>
      </c>
      <c r="Z122" s="203" t="str">
        <f>IF(EM122&gt;=EN122,EM122,EN122)</f>
        <v/>
      </c>
      <c r="AA122" s="203" t="str">
        <f>IF(R122=0,"",ROUNDUP(DE122/DM122,2))</f>
        <v/>
      </c>
      <c r="AB122" s="203" t="str">
        <f>IF(R122=0,"",ROUND(DF122/DT122,2))</f>
        <v/>
      </c>
      <c r="AC122" s="203" t="str">
        <f>IF(W122=0,"",ROUND(DG122/DO122,2))</f>
        <v/>
      </c>
      <c r="AD122" s="203" t="str">
        <f>IF(R122=0,"",ROUNDUP(DH122/DN122,2))</f>
        <v/>
      </c>
      <c r="AE122" s="203" t="str">
        <f>IF(R122=0,"",ROUNDUP(DI122/DZ122,2))</f>
        <v/>
      </c>
      <c r="AF122" s="203" t="str">
        <f>IF(W122=0,"",ROUNDUP(DJ122/DP122,2))</f>
        <v/>
      </c>
      <c r="AG122" s="315"/>
      <c r="AH122" s="316"/>
      <c r="AI122" s="315"/>
      <c r="AJ122" s="315"/>
      <c r="AK122" s="202">
        <f>IF(AH122=0,0,ROUND(AG122*AH122+AI122*AJ122,2))</f>
        <v>0</v>
      </c>
      <c r="AL122" s="202" t="str">
        <f>IF(AH122=0,"",IF(EH122&gt;=EJ122,EH122+EZ122,EJ122+FB122))</f>
        <v/>
      </c>
      <c r="AM122" s="250" t="str">
        <f>IF(AL122=+"","",IF(AL122&lt;=1,"OK!","NO!"))</f>
        <v/>
      </c>
      <c r="AN122" s="182">
        <f>+IF(I122=0,0,"1/")</f>
        <v>0</v>
      </c>
      <c r="AO122" s="293">
        <f>IF(I122=0,0,+DS122)</f>
        <v>0</v>
      </c>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9" t="e">
        <f>ROUNDUP((DC122*I122*100/2*3/2/DQ122)+GD122/DQ122+IF(J122=0,0,IF(VALUE(RIGHT(J122,4))=1,EO122/DQ122,0)),2)</f>
        <v>#VALUE!</v>
      </c>
      <c r="CQ122" s="9" t="e">
        <f>ROUNDUP((DD122*I122*100/2*3/2/DR122)+GD122/DR122+IF(J122=0,0,IF(VALUE(RIGHT(J122,4))=1,EP122/DR122,0)),2)</f>
        <v>#VALUE!</v>
      </c>
      <c r="CR122" s="23" t="e">
        <f>IF(CP122&gt;=CQ122,CP122,CQ122)</f>
        <v>#VALUE!</v>
      </c>
      <c r="CS122" s="23" t="e">
        <f>IF(CP122&gt;=CQ122,CP122,CQ122)</f>
        <v>#VALUE!</v>
      </c>
      <c r="CT122" s="9">
        <f>IF(R122=0,0,ROUNDUP(SQRT((Z122*P122/10*IF(V122=0,R122/10,V122/10))/(W122*W122)),2))</f>
        <v>0</v>
      </c>
      <c r="CU122" s="9"/>
      <c r="CV122" s="23"/>
      <c r="CW122" s="23" t="s">
        <v>717</v>
      </c>
      <c r="CX122" s="3" t="e">
        <f>VLOOKUP(VALUE(RIGHT(O122,4)),許容応力!$B$6:$K$22,10)</f>
        <v>#VALUE!</v>
      </c>
      <c r="CY122" s="63"/>
      <c r="CZ122" s="87">
        <f>ROUNDUP(IF(VALUE(RIGHT($G$3,3))=1,DA122*0.7,0),0)</f>
        <v>0</v>
      </c>
      <c r="DA122" s="87" t="e">
        <f>ROUNDUP(IF(VALUE(RIGHT($G$3,4))=1,$I$3*30*F122*100,$I$3*20*F122*100),0)</f>
        <v>#VALUE!</v>
      </c>
      <c r="DB122" s="87"/>
      <c r="DC122" s="87" t="e">
        <f>ROUNDUP(IF(VALUE(RIGHT($F123,4))=1,(準備!$G$60/100+準備!$D$48/100),(準備!$G$15/100+準備!$D$48/100+IF(N123=0,CZ122/100,0)))*($G122+$H122)/2,2)+IF($N123=0,0,$EQ122)</f>
        <v>#VALUE!</v>
      </c>
      <c r="DD122" s="87" t="e">
        <f>ROUNDUP(IF(VALUE(RIGHT($F123,4))=1,(準備!$G$60/100+6),(準備!$G$15/100+6+$DA122/100))*($G122+$H122)/2,2)+IF($N123=0,0,EQ122)</f>
        <v>#VALUE!</v>
      </c>
      <c r="DE122" s="87" t="e">
        <f>ROUNDUP($I122*100*($DC122*$I122*100+2*($GD122+IF(J122=0,0,IF(VALUE(RIGHT($J122,4))=1,$EO122,0))))/2/$DK122,1)</f>
        <v>#VALUE!</v>
      </c>
      <c r="DF122" s="87" t="e">
        <f>ABS(ROUNDUP((3*$DC122*POWER($I122*100,4)+$DC122*$I122*100*$I124*100*(4*POWER($I122*100,2)-POWER($I124*100,2))+8*($GD122+IF(J122=0,0,IF(VALUE(RIGHT($J122,4))=1,$EO122*POWER($I122*100,2)*($I122*100+$I124*100),0))))/(24*$CX122*$DL122*100),2))</f>
        <v>#VALUE!</v>
      </c>
      <c r="DG122" s="87" t="e">
        <f>ROUND(($DC122*$I122*100+(GD122+IF(J122=0,0,IF(VALUE(RIGHT($J122,4))=1,$EO122,0))))/($Y122*3*2),1)</f>
        <v>#VALUE!</v>
      </c>
      <c r="DH122" s="87" t="e">
        <f>ROUNDUP($I122*100*($DD122*$I122*100+2*($GD122+IF(J122=0,0,IF(VALUE(RIGHT($J122,4))=1,$EP122,0))))/2/$DK122,1)</f>
        <v>#VALUE!</v>
      </c>
      <c r="DI122" s="87" t="e">
        <f>ABS(ROUNDUP((3*$DD122*POWER($I122*100,4)+$DD122*$I122*100*$I124*100*(4*POWER($I122*100,2)-POWER($I124*100,2))+8*($GD122+IF(J122=0,0,IF(VALUE(RIGHT($J122,4))=1,$EP122*POWER($I122*100,2)*($I122*100+$I124*100),0))))/(24*$CX122*$DL122*100),2))</f>
        <v>#VALUE!</v>
      </c>
      <c r="DJ122" s="87" t="e">
        <f>ROUND(($DD122*$I122*100+GD122+IF(J122=0,0,IF(VALUE(RIGHT($J122,4))=1,$EP122,0)))/($Y122*3*2),1)</f>
        <v>#VALUE!</v>
      </c>
      <c r="DK122" s="87">
        <f>ROUNDDOWN($P122/10*POWER($R122/10,2)/6*IF(OR($S122=0,$S122=1),1,$S122),0)</f>
        <v>0</v>
      </c>
      <c r="DL122" s="87">
        <f>ROUNDDOWN($P122/10*POWER($R122/10,3)/12*IF(OR($S122=0,$S$98=1),1,$S122),0)</f>
        <v>0</v>
      </c>
      <c r="DM122" s="88" t="e">
        <f>IF($DN$6=2,ROUND(VLOOKUP(DV122,許容応力!$B$6:$K$22,7)*1.1/3*100,0),ROUND(VLOOKUP(DV122,許容応力!$B$6:$K$22,7)*1.1/3*1.3*100,0))</f>
        <v>#VALUE!</v>
      </c>
      <c r="DN122" s="87" t="e">
        <f>ROUND(VLOOKUP(DV122,許容応力!$B$6:$K$22,7)*100*2/3*0.8,0)</f>
        <v>#VALUE!</v>
      </c>
      <c r="DO122" s="88" t="e">
        <f>IF($DN$6=2,ROUND(VLOOKUP(DV122,許容応力!$B$6:$K$22,8)*1.1/3*100,0),ROUND(VLOOKUP(DV122,許容応力!$B$6:$K$22,8)*1.1/3*1.3*100,0))</f>
        <v>#VALUE!</v>
      </c>
      <c r="DP122" s="87" t="e">
        <f>ROUND(VLOOKUP(DV122,許容応力!$B$6:$K$22,8)*100*2/3*0.8,0)</f>
        <v>#VALUE!</v>
      </c>
      <c r="DQ122" s="88" t="e">
        <f>IF($DN$6=2,ROUND(VLOOKUP(DV122,許容応力!$B$6:$K$22,9)*1.1/3*100,0),ROUND(VLOOKUP(DV122,許容応力!$B$6:$K$22,9)*1.1/3*100*1.3,0))</f>
        <v>#VALUE!</v>
      </c>
      <c r="DR122" s="87" t="e">
        <f>ROUND(VLOOKUP(DV122,許容応力!$B$6:$K$22,9)*100*2/3*0.8,0)</f>
        <v>#VALUE!</v>
      </c>
      <c r="DS122" s="87">
        <v>600</v>
      </c>
      <c r="DT122" s="87">
        <f>ROUND(I122*100/DS122,2)</f>
        <v>0</v>
      </c>
      <c r="DU122" s="87"/>
      <c r="DV122" s="87" t="e">
        <f>+VALUE(RIGHT(O122,3))</f>
        <v>#VALUE!</v>
      </c>
      <c r="DW122" s="89">
        <f>ROUND(ATAN(E122/10)*180/PI(),4)</f>
        <v>0</v>
      </c>
      <c r="DX122" s="90">
        <f>ROUND(COS(DW122*PI()/180),3)</f>
        <v>1</v>
      </c>
      <c r="DY122" s="87">
        <v>225</v>
      </c>
      <c r="DZ122" s="87">
        <f>ROUND(I122*100/DY122,2)</f>
        <v>0</v>
      </c>
      <c r="EA122" s="87"/>
      <c r="EB122" s="87" t="e">
        <f>ROUNDUP((準備!$G$60/100+準備!$E$48/100)*($G122+$H122)/2,2)+IF(J122=0,0,IF(VALUE(RIGHT($J122,4))=1,$EQ122,0))</f>
        <v>#N/A</v>
      </c>
      <c r="EC122" s="87"/>
      <c r="ED122" s="87"/>
      <c r="EE122" s="87"/>
      <c r="EF122" s="87"/>
      <c r="EG122" s="87" t="e">
        <f>ROUND(DC122*I122*100/2/AK122,1)</f>
        <v>#VALUE!</v>
      </c>
      <c r="EH122" s="87" t="e">
        <f>ROUND(EG122/DQ122,2)</f>
        <v>#VALUE!</v>
      </c>
      <c r="EI122" s="87" t="e">
        <f>ROUND(DD122*I122*100/2/AK122,1)</f>
        <v>#VALUE!</v>
      </c>
      <c r="EJ122" s="87" t="e">
        <f>ROUND(EI122/DR122,2)</f>
        <v>#VALUE!</v>
      </c>
      <c r="EK122" s="63" t="e">
        <f>IF(ES122=2,0,ROUNDUP(IF(F122&gt;=F123,F122,F123)*EC122/#REF!,2))</f>
        <v>#VALUE!</v>
      </c>
      <c r="EL122" s="63" t="e">
        <f>IF(ES122=2,0,ROUNDUP(IF(F122&gt;=F123,F122,F123)*ED122/#REF!,2))</f>
        <v>#VALUE!</v>
      </c>
      <c r="EM122" s="87" t="str">
        <f>IF(E122=0,"",ROUND(DC122*I122*100/2/DO122,1))</f>
        <v/>
      </c>
      <c r="EN122" s="87" t="str">
        <f>IF(E122=0,"",ROUND(DD122*I122*100/2/DP122,1))</f>
        <v/>
      </c>
      <c r="EO122" s="87">
        <f>IF($L122=0,0,ROUNDUP((準備!$G$57/$DX122+IF(AND(VALUE(RIGHT($G$3,4))=1,$T$3=2),$CZ122/$DX122*1.2,$CZ122/$DX122))*($K122+$K123)/2*($L122+$L123)/2,0))</f>
        <v>0</v>
      </c>
      <c r="EP122" s="87">
        <f>IF(L122=0,0,ROUNDUP((準備!$G$57/DX122+IF(AND(VALUE(RIGHT($G$3,4))=1,$T$3=2),DA122/DX122*1.2,DA122/DX122))*(K122+K123)/2*(L122+L123)/2,0))</f>
        <v>0</v>
      </c>
      <c r="EQ122" s="63">
        <f>IF($N123=0,0,ROUND(VLOOKUP(VALUE(RIGHT($N122,4)),$M$600:$O$605,3)/10000*N123*100,2))</f>
        <v>0</v>
      </c>
      <c r="ER122" s="63">
        <f>IF(J122=0,0,IF(VALUE(RIGHT(J122,4))=2,0,ROUNDUP(J126*100*J127*100/(I122*100)*EO122/DK122,1)))</f>
        <v>0</v>
      </c>
      <c r="ES122" s="63">
        <f>IF(FC122=2,0,ROUNDUP(J126*J127/I122*100*EP122/DK122,1))</f>
        <v>0</v>
      </c>
      <c r="ET122" s="63">
        <f>IF(FC122=2,0,IF(FC122=0,0,ROUNDUP(EO122*IF(J126&gt;=J127,J126,J127)*SQRT(POWER(ABS(POWER(J126,2)-POWER(J127,2)),3)/(9*SQRT(3)*EV122*DL122*I122)),2)))</f>
        <v>0</v>
      </c>
      <c r="EU122" s="63">
        <f>IF(FC122=2,0,ROUNDUP(EP122*IF(J126&gt;=J127,J126,J127)*SQRT(POWER(ABS(POWER(J126,2)-POWER(J127,2)),3)/(9*SQRT(3)*EV122*DL122*I122)),2))</f>
        <v>0</v>
      </c>
      <c r="EV122" s="63" t="e">
        <f>+VLOOKUP(DV122,許容応力!$B$6:$K$22,10)*100</f>
        <v>#VALUE!</v>
      </c>
      <c r="EW122" s="63">
        <f>+$GD122+IF(J122=0,0,IF(VALUE(RIGHT($J122,4))=1,$EO122,0))</f>
        <v>0</v>
      </c>
      <c r="EX122" s="63">
        <f>+$GD$98+IF(J122=0,0,IF(VALUE(RIGHT($J122,4))=1,$EP122,0))</f>
        <v>0</v>
      </c>
      <c r="EY122" s="63" t="e">
        <f>ROUND(EW122/AK122,1)</f>
        <v>#DIV/0!</v>
      </c>
      <c r="EZ122" s="63" t="e">
        <f>ROUND(EY122/DQ122,2)</f>
        <v>#DIV/0!</v>
      </c>
      <c r="FA122" s="63" t="e">
        <f>ROUND(EX122/AK122,1)</f>
        <v>#DIV/0!</v>
      </c>
      <c r="FB122" s="63" t="e">
        <f>ROUND(FA122/DR122,2)</f>
        <v>#DIV/0!</v>
      </c>
      <c r="FC122" s="63">
        <f>IF(J122=0,2,+VALUE(RIGHT(J122,3)))</f>
        <v>2</v>
      </c>
      <c r="FD122" s="63">
        <f>IF($DN$6=2,400,200)</f>
        <v>200</v>
      </c>
      <c r="FE122" s="63">
        <f>ROUND(I122*100/FD122,2)</f>
        <v>0</v>
      </c>
      <c r="FF122" s="63">
        <v>200</v>
      </c>
      <c r="FG122" s="63">
        <f>ROUND(I122*100/FF122,2)</f>
        <v>0</v>
      </c>
      <c r="FH122" s="78" t="e">
        <f>ROUND(ET122/FE122,1)</f>
        <v>#DIV/0!</v>
      </c>
      <c r="FI122" s="78" t="e">
        <f>ROUND(EU122/FG122,1)</f>
        <v>#DIV/0!</v>
      </c>
      <c r="FJ122" s="78"/>
      <c r="FK122" s="63" t="e">
        <f>IF(FR122&lt;21,21,IF(AND(FR122&gt;21,FR122&lt;=24),24,IF(AND(FR122&gt;30,FR122&lt;=40),40,IF(AND(FR122&gt;40,FR122&lt;=45),45,IF(AND(FR122&gt;60,FR122&lt;=75),75,IF(AND(FR122&gt;90,FR122&lt;=105),105,IF(AND(FR122&gt;120,FR122&lt;=135),135,ROUNDUP(FR122/3,-1)*3)))))))</f>
        <v>#VALUE!</v>
      </c>
      <c r="FL122" s="63" t="e">
        <f>IF(FS122&lt;21,21,IF(AND(FS122&gt;21,FS122&lt;=24),24,IF(AND(FS122&gt;30,FS122&lt;=40),40,IF(AND(FS122&gt;40,FS122&lt;=45),45,IF(AND(FS122&gt;60,FS122&lt;=75),75,IF(AND(FS122&gt;90,FS122&lt;=105),105,IF(AND(FS122&gt;120,FS122&lt;=135),135,ROUNDUP(FS122/3,-1)*3)))))))</f>
        <v>#VALUE!</v>
      </c>
      <c r="FN122" s="63" t="e">
        <f>IF(FU122&lt;21,21,IF(AND(FU122&gt;21,FU122&lt;=24),24,IF(AND(FU122&gt;30,FU122&lt;=40),40,IF(AND(FU122&gt;40,FU122&lt;=45),45,IF(AND(FU122&gt;60,FU122&lt;=75),75,IF(AND(FU122&gt;90,FU122&lt;=105),105,IF(AND(FU122&gt;120,FU122&lt;=135),135,ROUNDUP(FU122/3,-1)*3)))))))</f>
        <v>#VALUE!</v>
      </c>
      <c r="FO122" s="63" t="e">
        <f>IF(FV122&lt;21,21,IF(AND(FV122&gt;21,FV122&lt;=24),24,IF(AND(FV122&gt;30,FV122&lt;=40),40,IF(AND(FV122&gt;40,FV122&lt;=45),45,IF(AND(FV122&gt;60,FV122&lt;=75),75,IF(AND(FV122&gt;90,FV122&lt;=105),105,IF(AND(FV122&gt;120,FV122&lt;=135),135,ROUNDUP(FV122/3,-1)*3)))))))</f>
        <v>#VALUE!</v>
      </c>
      <c r="FP122" s="155" t="e">
        <f>+MAX(FK122:FO122)</f>
        <v>#VALUE!</v>
      </c>
      <c r="FQ122" s="2"/>
      <c r="FR122" s="87" t="e">
        <f>ROUND(SQRT(FX122/($P124/10)*6/IF(OR($S124=0,$S124=1),1,$S124))*10,0)</f>
        <v>#VALUE!</v>
      </c>
      <c r="FS122" s="87" t="e">
        <f>POWER(ROUND(FY122/($P124/10)*12/IF(OR($S124=0,$S124=1),1,$S124),0),1/3)*10</f>
        <v>#VALUE!</v>
      </c>
      <c r="FU122" s="87" t="e">
        <f>ROUND(SQRT(GA122/($P124/10)*6/IF(OR($S124=0,$S124=1),1,$S124))*10,0)</f>
        <v>#VALUE!</v>
      </c>
      <c r="FV122" s="87" t="e">
        <f>POWER(ROUND(GB122/($P124/10)*12/IF(OR($S124=0,$S124=1),1,$S124),0),1/3)*10</f>
        <v>#VALUE!</v>
      </c>
      <c r="FW122" s="2"/>
      <c r="FX122" s="87" t="e">
        <f>ROUNDUP($I122*100*($DC122*$I122*100+2*($GD122+IF(J122=0,0,IF(VALUE(RIGHT($J122,4))=1,$EO122,0))))/2/$DM122,1)</f>
        <v>#VALUE!</v>
      </c>
      <c r="FY122" s="87" t="e">
        <f>ABS(ROUNDUP((3*$DC122*POWER($I122*100,4)+$DC122*$I122*100*$I124*100*(4*POWER($I122*100,2)-POWER($I124*100,2))+8*($GD122+IF(J122=0,0,IF(VALUE(RIGHT($J122,4))=1,$EO122*POWER($I122*100,2)*($I122*100+$I124*100),0))))/(24*$CX122*$DT122*100),2))</f>
        <v>#VALUE!</v>
      </c>
      <c r="FZ122" s="87"/>
      <c r="GA122" s="87" t="e">
        <f>ROUNDUP($I122*100*($DD122*$I122*100+2*($GD122+IF(J122=0,0,IF(VALUE(RIGHT($J122,4))=1,$EP122,0))))/2/$DN122,1)</f>
        <v>#VALUE!</v>
      </c>
      <c r="GB122" s="87" t="e">
        <f>ABS(ROUNDUP((3*$DD122*POWER($I122*100,4)+$DD122*$I122*100*$I124*100*(4*POWER($I122*100,2)-POWER($I124*100,2))+8*($GD122+IF(J122=0,0,IF(VALUE(RIGHT($J122,4))=1,$EP122*POWER($I122*100,2)*($I122*100+$I124*100),0))))/(24*$CX122*$DZ122*100),2))</f>
        <v>#VALUE!</v>
      </c>
      <c r="GD122" s="63">
        <f>IF($J127=0,0,VLOOKUP(VALUE(RIGHT($J$102,4)),$M$600:$O$605,3)/10000*(N126+N127)/2*100*J127*100)</f>
        <v>0</v>
      </c>
    </row>
    <row r="123" spans="2:186" ht="15.95" customHeight="1" x14ac:dyDescent="0.15">
      <c r="B123" s="1514"/>
      <c r="C123" s="1499"/>
      <c r="D123" s="1502"/>
      <c r="E123" s="583" t="s">
        <v>716</v>
      </c>
      <c r="F123" s="1131"/>
      <c r="G123" s="1359"/>
      <c r="H123" s="1359"/>
      <c r="I123" s="1359"/>
      <c r="J123" s="1609"/>
      <c r="K123" s="212"/>
      <c r="L123" s="213"/>
      <c r="M123" s="310" t="s">
        <v>263</v>
      </c>
      <c r="N123" s="301"/>
      <c r="O123" s="1575"/>
      <c r="P123" s="1193">
        <f>+IF(O122=0,0,"丸太末口 φ")</f>
        <v>0</v>
      </c>
      <c r="Q123" s="1194"/>
      <c r="R123" s="239">
        <f>IF(O122=0,0,+FP123)</f>
        <v>0</v>
      </c>
      <c r="S123" s="1120"/>
      <c r="T123" s="240" t="str">
        <f>IF(AA123=+"","",IF(AND(AA123&lt;=1,AB123&lt;=1,AD123&lt;=1,AE123&lt;=1),"OK!","NO!"))</f>
        <v/>
      </c>
      <c r="U123" s="240">
        <f>IF(W123=0,0,IF(IF(AC123&gt;=AF123,AC123,AF123)&lt;=1,"OK!","NO!"))</f>
        <v>0</v>
      </c>
      <c r="V123" s="827"/>
      <c r="W123" s="159"/>
      <c r="X123" s="205">
        <f>IF(W123=0,0,+CT123)</f>
        <v>0</v>
      </c>
      <c r="Y123" s="205" t="str">
        <f>IF(X123=0,"",ROUND(POWER(W123*X123,2)/(IF(V123=0,(R123/10-6)*(R123/10-3),(V123/10-6)*(V123/10-3))),2))</f>
        <v/>
      </c>
      <c r="Z123" s="206" t="str">
        <f>IF(EM123&gt;=EN123,EM123,EN123)</f>
        <v/>
      </c>
      <c r="AA123" s="206" t="str">
        <f>IF(R123=0,"",ROUNDUP(DE123/DM123,2))</f>
        <v/>
      </c>
      <c r="AB123" s="206" t="str">
        <f>IF(R123=0,"",ROUND(DF123/DT123,2))</f>
        <v/>
      </c>
      <c r="AC123" s="206" t="str">
        <f>IF(W123=0,"",ROUND(DG123/DO123,2))</f>
        <v/>
      </c>
      <c r="AD123" s="206" t="str">
        <f>IF(R123=0,"",ROUNDUP(DH123/DN123,2))</f>
        <v/>
      </c>
      <c r="AE123" s="206" t="str">
        <f>IF(R123=0,"",ROUNDUP(DI123/DZ123,2))</f>
        <v/>
      </c>
      <c r="AF123" s="206" t="str">
        <f>IF(W123=0,"",ROUNDUP(DJ123/DP123,2))</f>
        <v/>
      </c>
      <c r="AG123" s="333"/>
      <c r="AH123" s="333"/>
      <c r="AI123" s="334"/>
      <c r="AJ123" s="334"/>
      <c r="AK123" s="318">
        <f>IF(AH123=0,0,ROUND(AG123*AH123+AI123*AJ123,2))</f>
        <v>0</v>
      </c>
      <c r="AL123" s="318" t="str">
        <f>IF(AH123=0,"",IF(EH123&gt;=EJ123,EH123+EZ123,EJ123+FB123))</f>
        <v/>
      </c>
      <c r="AM123" s="248" t="str">
        <f>IF(AL123=+"","",IF(AL123&lt;=1,"OK!","NO!"))</f>
        <v/>
      </c>
      <c r="AN123" s="184">
        <f>+AN122</f>
        <v>0</v>
      </c>
      <c r="AO123" s="185">
        <f>+AO122</f>
        <v>0</v>
      </c>
      <c r="AP123" s="23"/>
      <c r="AQ123" s="23"/>
      <c r="CN123" s="23"/>
      <c r="CO123" s="23"/>
      <c r="CP123" s="9" t="e">
        <f>ROUNDUP((DC123*I122*100/2*4/3/DQ123)+GD123/DQ123+IF(J122=0,0,IF(VALUE(RIGHT(J122,4))=1,EO123/DQ123,0)),2)</f>
        <v>#VALUE!</v>
      </c>
      <c r="CQ123" s="9" t="e">
        <f>ROUNDUP((DD123*I122*100/2*4/3/DR123)+GD123/DR123+IF(J122=0,0,IF(VALUE(RIGHT(J122,4))=1,EP123/DR123,0)),2)</f>
        <v>#VALUE!</v>
      </c>
      <c r="CR123" s="23" t="e">
        <f>IF(CP123&gt;=CQ123,CP123,CQ123)</f>
        <v>#VALUE!</v>
      </c>
      <c r="CS123" s="23" t="e">
        <f>IF(CP123&gt;=CQ123,CP123,CQ123)</f>
        <v>#VALUE!</v>
      </c>
      <c r="CT123" s="9">
        <f>IF(R123=0,0,ROUNDUP(SQRT(IF(V123=0,(Z123*(R123/10-6)*(R123/10-3)),(Z123*(V123/10-6)*(V123/10-3)))/(W123*W123)),2))</f>
        <v>0</v>
      </c>
      <c r="CU123" s="9"/>
      <c r="CV123" s="23"/>
      <c r="CW123" s="23"/>
      <c r="CY123" s="63"/>
      <c r="CZ123" s="63">
        <f>ROUNDUP(IF(VALUE(RIGHT($G$3,3))=1,DA123*0.7,0),0)</f>
        <v>0</v>
      </c>
      <c r="DA123" s="63" t="e">
        <f>ROUNDUP(IF(VALUE(RIGHT($G$3,4))=1,$I$3*30*F122*100,$I$3*20*F122*100),0)</f>
        <v>#VALUE!</v>
      </c>
      <c r="DB123" s="63"/>
      <c r="DC123" s="87" t="e">
        <f>ROUNDUP(IF(VALUE(RIGHT($F123,4))=1,(準備!$G$60/100+準備!$D$48/100),(準備!$G$15/100+準備!$D$48/100+IF(N123=0,CZ123/100,0)))*($G122+$H122)/2,2)+IF($N123=0,0,$EQ123)</f>
        <v>#VALUE!</v>
      </c>
      <c r="DD123" s="87" t="e">
        <f>ROUNDUP(IF(VALUE(RIGHT($F123,4))=1,(準備!$G$60/100+6),(準備!$G$15/100+6+$DA122/100))*($G122+$H122)/2,2)+IF($N123=0,0,EQ123)</f>
        <v>#VALUE!</v>
      </c>
      <c r="DE123" s="63">
        <f>IF($R123=0,0,ROUNDUP($I122*100*($DC123*$I122*100+2*($GD123+IF(J122=0,0,IF(VALUE(RIGHT($J122,4))=1,$EO122,0))))/2/$DK123,1))</f>
        <v>0</v>
      </c>
      <c r="DF123" s="87" t="e">
        <f>ABS(ROUNDUP((3*$DC123*POWER($I122*100,4)+$DC123*$I122*100*$I124*100*(4*POWER($I122*100,2)-POWER($I124*100,2))+8*($GD122+IF(J122=0,0,IF(VALUE(RIGHT($J122,4))=1,$EO123*POWER($I122*100,2)*($I122*100+$I124*100),0))))/(24*$CX122*$DL123*100),2))</f>
        <v>#VALUE!</v>
      </c>
      <c r="DG123" s="87" t="e">
        <f>ROUND(($DC123*$I122*100+(GD122+IF(J122=0,0,IF(VALUE(RIGHT($J122,4))=1,$EO123,0))))/($Y123*3*2),1)</f>
        <v>#VALUE!</v>
      </c>
      <c r="DH123" s="63">
        <f>IF($R123=0,0,ROUNDUP($I122*100*($DD123*$I122*100+2*($GD122+IF(J122=0,0,IF(VALUE(RIGHT($J122,4))=1,$EP122,0))))/2/$DK123,1))</f>
        <v>0</v>
      </c>
      <c r="DI123" s="87" t="e">
        <f>ABS(ROUNDUP((3*$DD123*POWER($I122*100,4)+$DD123*$I122*100*$I124*100*(4*POWER($I122*100,2)-POWER($I124*100,2))+8*($GD122+IF(J122=0,0,IF(VALUE(RIGHT($J122,4))=1,$EP123*POWER($I122*100,2)*($I122*100+$I124*100),0))))/(24*$CX122*$DL123*100),2))</f>
        <v>#VALUE!</v>
      </c>
      <c r="DJ123" s="87" t="e">
        <f>ROUND(($DD123*$I122*100+GD122+IF(J122=0,0,IF(VALUE(RIGHT($J122,4))=1,$EP123,0)))/($Y123*3*2),1)</f>
        <v>#VALUE!</v>
      </c>
      <c r="DK123" s="63">
        <f>IF(R123&lt;180,ROUND((R123/10-3)*POWER(R123/10-3,2)/6*IF(S123=0,1,S123),0),ROUND((R123/10-5)*POWER(R123/10-3,2)/6*IF($S123=0,1,$S123),0))</f>
        <v>-5</v>
      </c>
      <c r="DL123" s="63">
        <f>ROUND(IF(R123&lt;180,(R123/10-3)*POWER((R123/10-3),3)/12*IF(S123=0,1,S123),(R123/10-5))*POWER((R123/10-3),3)/12*IF(S123=0,1,S123),0)</f>
        <v>-15</v>
      </c>
      <c r="DM123" s="10" t="e">
        <f>IF($DN$6=2,ROUND(VLOOKUP(DV123,許容応力!$L$6:$U$22,7)*1.1/3*100,0),ROUND(VLOOKUP(DV123,許容応力!$L$6:$U$22,7)*1.1/3*1.3*100,0))</f>
        <v>#VALUE!</v>
      </c>
      <c r="DN123" s="63" t="e">
        <f>ROUND(VLOOKUP(DV123,許容応力!$L$6:$U$22,7)*100*2/3*0.8,0)</f>
        <v>#VALUE!</v>
      </c>
      <c r="DO123" s="10" t="e">
        <f>IF($DN$6=2,ROUND(VLOOKUP(DV123,許容応力!$L$6:$U$22,8)*1.1/3*100,0),ROUND(VLOOKUP(DV123,許容応力!$L$6:$U$22,8)*1.1/3*1.3*100,0))</f>
        <v>#VALUE!</v>
      </c>
      <c r="DP123" s="63" t="e">
        <f>ROUND(VLOOKUP(DV123,許容応力!$L$6:$U$22,8)*100*2/3*0.8,0)</f>
        <v>#VALUE!</v>
      </c>
      <c r="DQ123" s="10" t="e">
        <f>IF($DN$6=2,ROUND(VLOOKUP(DV123,許容応力!$L$6:$U$22,9)*1.1/3*100,0),ROUND(VLOOKUP(DV123,許容応力!$L$6:$U$22,9)*1.1/3*1.3*100,0))</f>
        <v>#VALUE!</v>
      </c>
      <c r="DR123" s="63" t="e">
        <f>ROUND(VLOOKUP(DV123,許容応力!$L$6:$U$22,9)*100*2/3*0.8,0)</f>
        <v>#VALUE!</v>
      </c>
      <c r="DS123" s="63">
        <v>600</v>
      </c>
      <c r="DT123" s="63">
        <f>ROUND(I122*100/DS123,2)</f>
        <v>0</v>
      </c>
      <c r="DU123" s="63"/>
      <c r="DV123" s="78" t="e">
        <f>+VALUE(RIGHT(O122,3))</f>
        <v>#VALUE!</v>
      </c>
      <c r="DW123" s="69">
        <f>ROUND(ATAN(E122/10)*180/PI(),4)</f>
        <v>0</v>
      </c>
      <c r="DX123" s="70">
        <f>ROUND(COS(DW123*PI()/180),3)</f>
        <v>1</v>
      </c>
      <c r="DY123" s="63">
        <v>225</v>
      </c>
      <c r="DZ123" s="63">
        <f>ROUND(I122*100/DY123,2)</f>
        <v>0</v>
      </c>
      <c r="EA123" s="63"/>
      <c r="EB123" s="78" t="e">
        <f>ROUNDUP((準備!$G$60/100+準備!$E$48/100)*($G122+$H122)/2,2)+IF(J122=0,0,IF(VALUE(RIGHT($J122,4))=1,$EQ123,0))</f>
        <v>#N/A</v>
      </c>
      <c r="EC123" s="63"/>
      <c r="ED123" s="71">
        <f>IF(I122&lt;6,POWER(R123/10,2)*I122/10000,POWER((R123/10+(ROUNDDOWN(I122,0)-4)/2),2)*I122/10000)</f>
        <v>0</v>
      </c>
      <c r="EE123" s="63">
        <v>200</v>
      </c>
      <c r="EF123" s="84">
        <f>ROUND(ED123*EE123/100,0)</f>
        <v>0</v>
      </c>
      <c r="EG123" s="63" t="e">
        <f>ROUND((DC123*I122*100/2+EF123)/AK123,1)</f>
        <v>#VALUE!</v>
      </c>
      <c r="EH123" s="63" t="e">
        <f>ROUND(EG123/DQ123,2)</f>
        <v>#VALUE!</v>
      </c>
      <c r="EI123" s="63" t="e">
        <f>ROUND((DD123*I122*100/2+EF123)/AK123,1)</f>
        <v>#VALUE!</v>
      </c>
      <c r="EJ123" s="63" t="e">
        <f>ROUND(EI123/DR123,2)</f>
        <v>#VALUE!</v>
      </c>
      <c r="EK123" s="63" t="e">
        <f>ROUNDUP(IF(F122&gt;=F123,F122,F123)*EC123/#REF!,2)</f>
        <v>#VALUE!</v>
      </c>
      <c r="EL123" s="63" t="e">
        <f>ROUNDUP(IF(F122&gt;=F123,F122,F123)*ED123/#REF!,2)</f>
        <v>#VALUE!</v>
      </c>
      <c r="EM123" s="87" t="str">
        <f>IF(E122=0,"",ROUND(DC123*I122*100/2/DO123,1))</f>
        <v/>
      </c>
      <c r="EN123" s="87" t="str">
        <f>IF(E122=0,"",ROUND(DD123*I122*100/2/DP123,1))</f>
        <v/>
      </c>
      <c r="EO123" s="63">
        <f>IF(L122=0,0,ROUNDUP((準備!$G$57/DX123+IF(AND(VALUE(RIGHT($G$3,4))=1,$T$3=2),CZ123/DX123*1.2,CZ123/DX123))*(K122+K123)/2*(L122+L123)/2,0))</f>
        <v>0</v>
      </c>
      <c r="EP123" s="63">
        <f>IF(L122=0,0,ROUNDUP((準備!$G$57/DX123+IF(AND(VALUE(RIGHT($G$3,4))=1,$T$3=2),DA123/DX123*1.2,DA123/DX123))*(K122+K123)/2*(L122+L123)/2,0))</f>
        <v>0</v>
      </c>
      <c r="EQ123" s="63">
        <f>+EQ122</f>
        <v>0</v>
      </c>
      <c r="ER123" s="63">
        <f>IF(J122=0,0,IF(VALUE(RIGHT(J122,4))=2,0,ROUNDUP(J126*100*J127*100/(I122*100)*EO123/DK123,1)))</f>
        <v>0</v>
      </c>
      <c r="ES123" s="63" t="e">
        <f>IF(FC123=2,0,ROUNDUP(N294*J127/I122*100*EP123/DK123,1))</f>
        <v>#VALUE!</v>
      </c>
      <c r="ET123" s="63" t="e">
        <f>ROUNDUP(EO123*IF(J126&gt;=J127,J126*100,J127*100)*SQRT(POWER(ABS(POWER(J126,2)-POWER(J127,2)),3)/(9*SQRT(3)*EV123*DL123*I122)),2)</f>
        <v>#VALUE!</v>
      </c>
      <c r="EU123" s="63" t="e">
        <f>ROUNDUP(EP123*IF(J126&gt;=J127,J126*100,J127*100)*SQRT(POWER(ABS(POWER(J126,2)-POWER(J127,2)),3)/(9*SQRT(3)*EV123*DL123*I122)),2)</f>
        <v>#VALUE!</v>
      </c>
      <c r="EV123" s="63" t="e">
        <f>+VLOOKUP(DV123,許容応力!$L$6:$V$22,10)*100</f>
        <v>#VALUE!</v>
      </c>
      <c r="EW123" s="63">
        <f>+$GD122+IF(J122=0,0,IF(VALUE(RIGHT($J122,4))=1,$EO123,0))</f>
        <v>0</v>
      </c>
      <c r="EX123" s="63">
        <f>+$GD$98+IF(J122=0,0,IF(VALUE(RIGHT($J122,4))=1,$EP123,0))</f>
        <v>0</v>
      </c>
      <c r="EY123" s="63" t="e">
        <f>ROUND(EW123/AK123,1)</f>
        <v>#DIV/0!</v>
      </c>
      <c r="EZ123" s="63" t="e">
        <f>ROUND(EY123/DQ123,2)</f>
        <v>#DIV/0!</v>
      </c>
      <c r="FA123" s="63" t="e">
        <f>ROUND(EX123/AK123,1)</f>
        <v>#DIV/0!</v>
      </c>
      <c r="FB123" s="63" t="e">
        <f>ROUND(FA123/DR123,2)</f>
        <v>#DIV/0!</v>
      </c>
      <c r="FC123" s="63" t="e">
        <f>+VALUE(RIGHT(J122,3))</f>
        <v>#VALUE!</v>
      </c>
      <c r="FD123" s="63">
        <f>IF($DN$6=2,400,200)</f>
        <v>200</v>
      </c>
      <c r="FE123" s="63">
        <f>ROUND(I122*100/FD123,2)</f>
        <v>0</v>
      </c>
      <c r="FF123" s="78">
        <v>200</v>
      </c>
      <c r="FG123" s="63">
        <f>ROUND(I122*100/FF123,2)</f>
        <v>0</v>
      </c>
      <c r="FH123" s="78" t="e">
        <f>ROUND(ET123/FE123,1)</f>
        <v>#VALUE!</v>
      </c>
      <c r="FI123" s="78" t="e">
        <f>ROUND(EU123/FG123,1)</f>
        <v>#VALUE!</v>
      </c>
      <c r="FJ123" s="78"/>
      <c r="FK123" s="63" t="e">
        <f>IF(S123=0.8,VLOOKUP(FR123,$CR$395:$CS$439,2),IF(S123=0.9,VLOOKUP(FR123,$CR$348:$CS$394,2),VLOOKUP(FR123,$CR$301:$CS$344,2)))</f>
        <v>#VALUE!</v>
      </c>
      <c r="FL123" s="63" t="e">
        <f>IF(S123=0.8,VLOOKUP(FS123,$CT$395:$CU$439,2),IF(S123=0.9,VLOOKUP(FS123,$CT$348:$CU$394,2),VLOOKUP(FS123,$CT$301:$CU$344,2)))</f>
        <v>#VALUE!</v>
      </c>
      <c r="FN123" s="63" t="e">
        <f>IF(S123=0.8,VLOOKUP(FU123,$CR$395:$CS$439,2),IF(S123=0.9,VLOOKUP(FU123,$CR$348:$CS$394,2),VLOOKUP(FU123,$CR$301:$CS$344,2)))</f>
        <v>#VALUE!</v>
      </c>
      <c r="FO123" s="63" t="e">
        <f>IF(S123=0.8,VLOOKUP(FV123,$CT$395:$CU$439,2),IF(S123=0.9,VLOOKUP(FV123,$CT$348:$CU$394,2),VLOOKUP(FV123,$CT$301:$CU$344,2)))</f>
        <v>#VALUE!</v>
      </c>
      <c r="FP123" s="155" t="e">
        <f>+MAX(FK123:FO123)</f>
        <v>#VALUE!</v>
      </c>
      <c r="FQ123" s="2"/>
      <c r="FR123" s="63" t="e">
        <f>ROUNDUP($I122*100*($DC123*$I122*100+2*($GD123+IF(J122=0,0,IF(VALUE(RIGHT($J122,4))=1,$EO122,0))))/2/$DM123,1)</f>
        <v>#VALUE!</v>
      </c>
      <c r="FS123" s="87" t="e">
        <f>ABS(ROUNDUP((3*$DC123*POWER($I122*100,4)+$DC123*$I122*100*$I124*100*(4*POWER($I122*100,2)-POWER($I124*100,2))+8*($GD122+IF(J122=0,0,IF(VALUE(RIGHT($J122,4))=1,$EO123*POWER($I122*100,2)*($I122*100+$I124*100),0))))/(24*$CX122*$DT123*100),2))</f>
        <v>#VALUE!</v>
      </c>
      <c r="FT123" s="87"/>
      <c r="FU123" s="63" t="e">
        <f>ROUNDUP($I122*100*($DD123*$I122*100+2*($GD122+IF(J122=0,0,IF(VALUE(RIGHT($J122,4))=1,$EP122,0))))/2/$DN123,1)</f>
        <v>#VALUE!</v>
      </c>
      <c r="FV123" s="87" t="e">
        <f>ABS(ROUNDUP((3*$DD123*POWER($I122*100,4)+$DD123*$I122*100*$I124*100*(4*POWER($I122*100,2)-POWER($I124*100,2))+8*($GD122+IF(J122=0,0,IF(VALUE(RIGHT($J122,4))=1,$EP123*POWER($I122*100,2)*($I122*100+$I124*100),0))))/(24*$CX122*$DZ123*100),2))</f>
        <v>#VALUE!</v>
      </c>
      <c r="FW123" s="2"/>
      <c r="FX123" s="2"/>
      <c r="FY123" s="2"/>
      <c r="FZ123" s="2"/>
      <c r="GA123" s="2"/>
      <c r="GB123" s="2"/>
      <c r="GD123" s="63">
        <f>+GD122</f>
        <v>0</v>
      </c>
    </row>
    <row r="124" spans="2:186" ht="15.95" customHeight="1" thickBot="1" x14ac:dyDescent="0.2">
      <c r="B124" s="1514"/>
      <c r="C124" s="1499"/>
      <c r="D124" s="1376" t="s">
        <v>715</v>
      </c>
      <c r="E124" s="1509">
        <f>+E122</f>
        <v>0</v>
      </c>
      <c r="F124" s="1510" t="str">
        <f>IF(E124=0,"",ROUND(SQRT(COS(DW124*1.5*PI()/180)),3))</f>
        <v/>
      </c>
      <c r="G124" s="1359"/>
      <c r="H124" s="1359"/>
      <c r="I124" s="1359"/>
      <c r="J124" s="303"/>
      <c r="K124" s="302"/>
      <c r="L124" s="302"/>
      <c r="M124" s="309" t="s">
        <v>259</v>
      </c>
      <c r="N124" s="1147"/>
      <c r="O124" s="1598">
        <f>+O122</f>
        <v>0</v>
      </c>
      <c r="P124" s="305">
        <f>+P122</f>
        <v>0</v>
      </c>
      <c r="Q124" s="195">
        <f>+IF(P124=0,0,"×")</f>
        <v>0</v>
      </c>
      <c r="R124" s="237">
        <f>IF(P124=0,0,+FP124)</f>
        <v>0</v>
      </c>
      <c r="S124" s="1119"/>
      <c r="T124" s="238" t="str">
        <f>IF(AA124=+"","",IF(AND(AA124&lt;=1,AB124&lt;=1,AD124&lt;=1,AE124&lt;=1),"OK!","NO!"))</f>
        <v/>
      </c>
      <c r="U124" s="238">
        <f>IF(W124=0,0,IF(IF(AC124&gt;=AF124,AC124,AF124)&lt;=1,"OK!","NO!"))</f>
        <v>0</v>
      </c>
      <c r="V124" s="828"/>
      <c r="W124" s="157"/>
      <c r="X124" s="198">
        <f>IF(W124=0,0,+CT124)</f>
        <v>0</v>
      </c>
      <c r="Y124" s="198">
        <f>IF(X124=0,0,ROUND(POWER(W124*X124,2)/(P124/10*IF(V124=0,R124/10,V124/10)),2))</f>
        <v>0</v>
      </c>
      <c r="Z124" s="199" t="str">
        <f>IF(EM124&gt;=EN124,EM124,EN124)</f>
        <v/>
      </c>
      <c r="AA124" s="199" t="str">
        <f>IF(R124=0,"",ROUNDUP((DE124)/DM124,2))</f>
        <v/>
      </c>
      <c r="AB124" s="199" t="str">
        <f>IF(R124=0,"",ROUND(DF124/DT124,2))</f>
        <v/>
      </c>
      <c r="AC124" s="199" t="str">
        <f>IF(W124=0,"",ROUND(DG124/DO124,2))</f>
        <v/>
      </c>
      <c r="AD124" s="199" t="str">
        <f>IF(R124=0,"",ROUNDUP((DH124)/DN124,2))</f>
        <v/>
      </c>
      <c r="AE124" s="199" t="str">
        <f>IF(R124=0,"",ROUNDUP(DI124/DZ124,2))</f>
        <v/>
      </c>
      <c r="AF124" s="201" t="str">
        <f>IF(W124=0,"",ROUNDUP(DJ124/DP124,2))</f>
        <v/>
      </c>
      <c r="AG124" s="327"/>
      <c r="AH124" s="321"/>
      <c r="AI124" s="328"/>
      <c r="AJ124" s="328"/>
      <c r="AK124" s="321"/>
      <c r="AL124" s="321"/>
      <c r="AM124" s="322"/>
      <c r="AN124" s="186">
        <f>IF(I124=0,0,+AN122)</f>
        <v>0</v>
      </c>
      <c r="AO124" s="295">
        <f>IF(I124=0,0,+DS124)</f>
        <v>0</v>
      </c>
      <c r="CP124" s="9" t="e">
        <f>ROUNDUP((DC124*I124*100/2*3/2/DQ124),2)</f>
        <v>#N/A</v>
      </c>
      <c r="CQ124" s="9" t="e">
        <f>ROUNDUP((DD124*I124*100/2*3/2/DR124),2)</f>
        <v>#N/A</v>
      </c>
      <c r="CR124" s="23" t="e">
        <f>IF(CP124&gt;=CQ124,CP124,CQ124)</f>
        <v>#N/A</v>
      </c>
      <c r="CS124" s="23" t="e">
        <f>IF(CP124&gt;=CQ124,CP124,CQ124)</f>
        <v>#N/A</v>
      </c>
      <c r="CT124" s="9">
        <f>IF(R124=0,0,ROUNDUP(SQRT((Z124*P124/10*IF(V124=0,R124/10,V124/10))/(W124*W124)),2))</f>
        <v>0</v>
      </c>
      <c r="CU124" s="9"/>
      <c r="CV124" s="23"/>
      <c r="CW124" s="23" t="e">
        <f>ROUND((POWER(I124*100,2)-POWER(I122*100,2))/2/(I124*100),2)</f>
        <v>#DIV/0!</v>
      </c>
      <c r="CY124" s="63"/>
      <c r="CZ124" s="87">
        <f>ROUNDUP(IF(VALUE(RIGHT($G$3,3))=1,DA124*0.7,0),0)</f>
        <v>0</v>
      </c>
      <c r="DA124" s="87" t="e">
        <f>ROUNDUP(IF(VALUE(RIGHT($G$3,4))=1,$I$3*30*F124*100,$I$3*20*F124*100),0)</f>
        <v>#VALUE!</v>
      </c>
      <c r="DB124" s="87"/>
      <c r="DC124" s="87" t="e">
        <f>ROUNDUP((準備!$G$60/100+準備!$D$48/100)*($G124+$H124)/2,2)+IF($M127=0,0,$EQ124)</f>
        <v>#N/A</v>
      </c>
      <c r="DD124" s="87">
        <f>ROUNDUP((準備!$G$60/100+6)*(G124+H124)/2,2)+IF(M127=0,0,EQ124)</f>
        <v>0</v>
      </c>
      <c r="DE124" s="87" t="e">
        <f>ABS(ROUNDUP(($DC124*$I124*100*POWER($CW124,2)-2*($GD122+$EO122*$I122*100*$CW124))/2/($I124*100)/$DK124,1))</f>
        <v>#N/A</v>
      </c>
      <c r="DF124" s="87" t="e">
        <f>ABS(ROUNDUP((5*$DC124*POWER($I124*100,4)-$DC124*POWER($I122*100,2)-24.6528*($GD122+IF(J122=0,0,IF(VALUE(RIGHT($J122,4))=1,$EO122*$I122*100*POWER($I124*100,2),0))))/(384*VLOOKUP(VALUE(RIGHT($O122,4)),許容応力!$B$6:$K$22,10)*100*$DL124*100),2))</f>
        <v>#N/A</v>
      </c>
      <c r="DG124" s="87" t="e">
        <f>ROUND(($DC124*($I124*100-$CW124)+(GD122*I122*100/(I124*100)+IF(J122=0,0,IF(VALUE(RIGHT($J122,4))=1,$EO122*$I122*100/($I124*100),0))))/($Y124*3*2),1)</f>
        <v>#N/A</v>
      </c>
      <c r="DH124" s="87" t="e">
        <f>ABS(ROUNDUP(($DD124*$I124*100*POWER($CW124,2)-2*($GD122+IF(J122=0,0,IF(VALUE(RIGHT($J122,4))=1,$EP122*$I122*100*$CW124,0))))/2/($I124*100)/$DK124,1))</f>
        <v>#DIV/0!</v>
      </c>
      <c r="DI124" s="87" t="e">
        <f>ABS(ROUNDUP((5*$DD124*POWER($I124*100,4)-$DD124*POWER($I122*100,2)-24.6528*($GD122+$EP122*$I122*100*POWER($I124*100,2)))/(384*VLOOKUP(VALUE(RIGHT($O122,4)),許容応力!$B$6:$K$22,10)*100*$DL124*100),2))</f>
        <v>#VALUE!</v>
      </c>
      <c r="DJ124" s="87" t="e">
        <f>ROUND(($DD124*($I124*100-$CW124)+(GD122*I122*100/(I124*100)+IF(J122=0,0,IF(VALUE(RIGHT($J122,4))=1,$EP122*$I122*100/($I124*100),0))))/($Y124*3*2),1)</f>
        <v>#DIV/0!</v>
      </c>
      <c r="DK124" s="87">
        <f>ROUNDDOWN($P124/10*POWER($R124/10,2)/6*IF(OR($S124=0,$S124=1),1,$S124),0)</f>
        <v>0</v>
      </c>
      <c r="DL124" s="87">
        <f>ROUNDDOWN($P124/10*POWER($R124/10,3)/12*IF(OR($S124=0,$S124=1),1,$S124),0)</f>
        <v>0</v>
      </c>
      <c r="DM124" s="88" t="e">
        <f>IF($DN$6=2,ROUND(VLOOKUP(DV124,許容応力!$B$6:$K$22,7)*1.1/3*100,0),ROUND(VLOOKUP(DV124,許容応力!$B$6:$K$22,7)*1.1/3*1.3*100,0))</f>
        <v>#N/A</v>
      </c>
      <c r="DN124" s="87" t="e">
        <f>ROUND(VLOOKUP(DV124,許容応力!$B$6:$K$22,7)*100*2/3*0.8,0)</f>
        <v>#N/A</v>
      </c>
      <c r="DO124" s="88" t="e">
        <f>IF($DN$6=2,ROUND(VLOOKUP(DV124,許容応力!$B$6:$K$22,8)*1.1/3*100,0),ROUND(VLOOKUP(DV124,許容応力!$B$6:$K$22,8)*1.1/3*1.3*100,0))</f>
        <v>#N/A</v>
      </c>
      <c r="DP124" s="87" t="e">
        <f>ROUND(VLOOKUP(DV124,許容応力!$B$6:$K$22,8)*100*2/3*0.8,0)</f>
        <v>#N/A</v>
      </c>
      <c r="DQ124" s="88" t="e">
        <f>IF($DN$6=2,ROUND(VLOOKUP(DV124,許容応力!$B$6:$K$22,9)*1.1/3*100,0),ROUND(VLOOKUP(DV124,許容応力!$B$6:$K$22,9)*1.1/3*100*1.3,0))</f>
        <v>#N/A</v>
      </c>
      <c r="DR124" s="87" t="e">
        <f>ROUND(VLOOKUP(DV124,許容応力!$B$6:$K$22,9)*100*2/3*0.8,0)</f>
        <v>#N/A</v>
      </c>
      <c r="DS124" s="87">
        <v>600</v>
      </c>
      <c r="DT124" s="87">
        <f>ROUND(I124*100/DS124,2)</f>
        <v>0</v>
      </c>
      <c r="DU124" s="87"/>
      <c r="DV124" s="87">
        <f>+VALUE(RIGHT(O124,3))</f>
        <v>0</v>
      </c>
      <c r="DW124" s="89">
        <f>ROUND(ATAN(E124/10)*180/PI(),4)</f>
        <v>0</v>
      </c>
      <c r="DX124" s="90">
        <f>ROUND(COS(DW124*PI()/180),3)</f>
        <v>1</v>
      </c>
      <c r="DY124" s="87">
        <v>225</v>
      </c>
      <c r="DZ124" s="87">
        <f>ROUND(I124*100/DY124,2)</f>
        <v>0</v>
      </c>
      <c r="EA124" s="87"/>
      <c r="EB124" s="87" t="e">
        <f>ROUNDUP((準備!$G$60/100+準備!$E$48/100)*($G124+$H124)/2,2)+IF(J122=0,0,IF(VALUE(RIGHT($J122,4))=1,$EQ124,0))</f>
        <v>#N/A</v>
      </c>
      <c r="EC124" s="87"/>
      <c r="ED124" s="87"/>
      <c r="EE124" s="87"/>
      <c r="EF124" s="87"/>
      <c r="EG124" s="87" t="e">
        <f>ROUND(DC124*I124*100/2/AK124,1)</f>
        <v>#N/A</v>
      </c>
      <c r="EH124" s="87" t="e">
        <f>ROUND(EG124/DQ124,2)</f>
        <v>#N/A</v>
      </c>
      <c r="EI124" s="87" t="e">
        <f>ROUND(DD124*I124*100/2/AK124,1)</f>
        <v>#DIV/0!</v>
      </c>
      <c r="EJ124" s="87" t="e">
        <f>ROUND(EI124/DR124,2)</f>
        <v>#DIV/0!</v>
      </c>
      <c r="EK124" s="63" t="e">
        <f>IF(ES124=2,0,ROUNDUP(IF(F124&gt;=F125,F124,F125)*EC124/#REF!,2))</f>
        <v>#VALUE!</v>
      </c>
      <c r="EL124" s="63" t="e">
        <f>IF(ES124=2,0,ROUNDUP(IF(F124&gt;=F125,F124,F125)*ED124/#REF!,2))</f>
        <v>#VALUE!</v>
      </c>
      <c r="EM124" s="87" t="str">
        <f>IF(E124=0,"",ROUND(DC124*I124*100/2/DO124,1))</f>
        <v/>
      </c>
      <c r="EN124" s="87" t="str">
        <f>IF(E124=0,"",ROUND(DD124*I124*100/2/DP124,1))</f>
        <v/>
      </c>
      <c r="EO124" s="87">
        <f>IF(L122=0,0,ROUNDUP((準備!$G$57/DX124+IF(AND(VALUE(RIGHT($G$3,4))=1,$T$3=2),CZ124/DX124*1.2,CZ124/DX124))*(K122+K123)/2*(L122+L123)/2,0))</f>
        <v>0</v>
      </c>
      <c r="EP124" s="87">
        <f>IF(L122=0,0,ROUNDUP((準備!$G$57/DX124+IF(AND(VALUE(RIGHT($G$3,4))=1,$T$3=2),DA124/DX124*1.2,DA124/DX124))*(K122+K123)/2*(L122+L123)/2,0))</f>
        <v>0</v>
      </c>
      <c r="EQ124" s="63">
        <f>IF(N125=0,0,VLOOKUP(VALUE(RIGHT(N124,4)),$M$600:$O$605,3)/10000*N125*100)</f>
        <v>0</v>
      </c>
      <c r="ER124" s="63">
        <f>IF(J124=0,0,IF(VALUE(RIGHT(J124,4))=2,0,ROUNDUP(N126*100*N127*100/(I124*100)*EO124/DK124,1)))</f>
        <v>0</v>
      </c>
      <c r="ES124" s="63" t="e">
        <f>IF(FC124=2,0,ROUNDUP(N126*N127/I124*100*EP124/DK124,1))</f>
        <v>#VALUE!</v>
      </c>
      <c r="ET124" s="63" t="e">
        <f>IF(FC124=2,0,IF(FC124=0,0,ROUNDUP(EO124*IF(N126&gt;=N127,N126,N127)*SQRT(POWER(ABS(POWER(N126,2)-POWER(N127,2)),3)/(9*SQRT(3)*EV124*DL124*I124)),2)))</f>
        <v>#VALUE!</v>
      </c>
      <c r="EU124" s="63" t="e">
        <f>IF(FC124=2,0,ROUNDUP(EP124*IF(N126&gt;=N127,N126,N127)*SQRT(POWER(ABS(POWER(N126,2)-POWER(N127,2)),3)/(9*SQRT(3)*EV124*DL124*I124)),2))</f>
        <v>#VALUE!</v>
      </c>
      <c r="EV124" s="63" t="e">
        <f>+VLOOKUP(DV124,許容応力!$B$6:$K$22,10)*100</f>
        <v>#N/A</v>
      </c>
      <c r="EW124" s="63" t="e">
        <f>IF(FC124=2,0,ROUNDUP(IF(N126&gt;=N127,N126,N127)*EO124/I124,0))</f>
        <v>#VALUE!</v>
      </c>
      <c r="EX124" s="63" t="e">
        <f>IF(FC124=2,0,ROUNDUP(IF(N126&gt;=N127,N126,N127)*EP124/I124,0))</f>
        <v>#VALUE!</v>
      </c>
      <c r="EY124" s="63" t="e">
        <f>ROUND(EW124*100/AK124,1)</f>
        <v>#VALUE!</v>
      </c>
      <c r="EZ124" s="63" t="e">
        <f>ROUND(EY124/DQ124,2)</f>
        <v>#VALUE!</v>
      </c>
      <c r="FA124" s="63" t="e">
        <f>ROUND(EX124*100/AK124,1)</f>
        <v>#VALUE!</v>
      </c>
      <c r="FB124" s="63" t="e">
        <f>ROUND(FA124/DR124,2)</f>
        <v>#VALUE!</v>
      </c>
      <c r="FC124" s="63" t="e">
        <f>+VALUE(RIGHT(J122,3))</f>
        <v>#VALUE!</v>
      </c>
      <c r="FD124" s="63">
        <f>IF($DN$6=2,400,200)</f>
        <v>200</v>
      </c>
      <c r="FE124" s="63">
        <f>ROUND(I124*100/FD124,2)</f>
        <v>0</v>
      </c>
      <c r="FF124" s="63">
        <v>200</v>
      </c>
      <c r="FG124" s="63">
        <f>ROUND(I124*100/FF124,2)</f>
        <v>0</v>
      </c>
      <c r="FH124" s="78" t="e">
        <f>ROUND(ET124/FE124,1)</f>
        <v>#VALUE!</v>
      </c>
      <c r="FI124" s="78" t="e">
        <f>ROUND(EU124/FG124,1)</f>
        <v>#VALUE!</v>
      </c>
      <c r="FJ124" s="78"/>
      <c r="FK124" s="63" t="e">
        <f>IF(FR124&lt;21,21,IF(AND(FR124&gt;21,FR124&lt;=24),24,IF(AND(FR124&gt;30,FR124&lt;=40),40,IF(AND(FR124&gt;40,FR124&lt;=45),45,IF(AND(FR124&gt;60,FR124&lt;=75),75,IF(AND(FR124&gt;90,FR124&lt;=105),105,IF(AND(FR124&gt;120,FR124&lt;=135),135,ROUNDUP(FR124/3,-1)*3)))))))</f>
        <v>#N/A</v>
      </c>
      <c r="FL124" s="63" t="e">
        <f>IF(FS124&lt;21,21,IF(AND(FS124&gt;21,FS124&lt;=24),24,IF(AND(FS124&gt;30,FS124&lt;=40),40,IF(AND(FS124&gt;40,FS124&lt;=45),45,IF(AND(FS124&gt;60,FS124&lt;=75),75,IF(AND(FS124&gt;90,FS124&lt;=105),105,IF(AND(FS124&gt;120,FS124&lt;=135),135,ROUNDUP(FS124/3,-1)*3)))))))</f>
        <v>#N/A</v>
      </c>
      <c r="FN124" s="63" t="e">
        <f>IF(FU124&lt;21,21,IF(AND(FU124&gt;21,FU124&lt;=24),24,IF(AND(FU124&gt;30,FU124&lt;=40),40,IF(AND(FU124&gt;40,FU124&lt;=45),45,IF(AND(FU124&gt;60,FU124&lt;=75),75,IF(AND(FU124&gt;90,FU124&lt;=105),105,IF(AND(FU124&gt;120,FU124&lt;=135),135,ROUNDUP(FU124/3,-1)*3)))))))</f>
        <v>#DIV/0!</v>
      </c>
      <c r="FO124" s="63" t="e">
        <f>IF(FV124&lt;21,21,IF(AND(FV124&gt;21,FV124&lt;=24),24,IF(AND(FV124&gt;30,FV124&lt;=40),40,IF(AND(FV124&gt;40,FV124&lt;=45),45,IF(AND(FV124&gt;60,FV124&lt;=75),75,IF(AND(FV124&gt;90,FV124&lt;=105),105,IF(AND(FV124&gt;120,FV124&lt;=135),135,ROUNDUP(FV124/3,-1)*3)))))))</f>
        <v>#VALUE!</v>
      </c>
      <c r="FP124" s="155" t="e">
        <f>+MAX(FK124:FO124)</f>
        <v>#N/A</v>
      </c>
      <c r="FQ124" s="2"/>
      <c r="FR124" s="87" t="e">
        <f>ROUND(SQRT(FX124/($P124/10)*6/IF(OR($S124=0,$S124=1),1,$S124))*10,0)</f>
        <v>#N/A</v>
      </c>
      <c r="FS124" s="87" t="e">
        <f>POWER(ROUND(FY124/($P124/10)*12/IF(OR($S124=0,$S124=1),1,$S124),0),1/3)*10</f>
        <v>#N/A</v>
      </c>
      <c r="FU124" s="87" t="e">
        <f>ROUND(SQRT(GA124/($P124/10)*6/IF(OR($S124=0,$S124=1),1,$S124))*10,0)</f>
        <v>#DIV/0!</v>
      </c>
      <c r="FV124" s="87" t="e">
        <f>POWER(ROUND(GB124/($P124/10)*12/IF(OR($S124=0,$S124=1),1,$S124),0),1/3)*10</f>
        <v>#VALUE!</v>
      </c>
      <c r="FW124" s="2"/>
      <c r="FX124" s="87" t="e">
        <f>ABS(ROUNDUP(($DC124*$I124*100*POWER($CW124,2)-2*($EQ122+$EO122*$I122*100*$CW124))/2/($I124*100)/$DM124,1))</f>
        <v>#N/A</v>
      </c>
      <c r="FY124" s="87" t="e">
        <f>ABS(ROUNDUP((5*$DC124*POWER($I124*100,4)-$DC124*POWER($I122*100,2)-24.6528*($GD122+IF(J122=0,0,IF(VALUE(RIGHT($J122,4))=1,$EO122*$I122*100*POWER($I124*100,2),0))))/(384*VLOOKUP(VALUE(RIGHT($O122,4)),許容応力!$B$6:$K$22,10)*100*$DT124),2))</f>
        <v>#N/A</v>
      </c>
      <c r="FZ124" s="87"/>
      <c r="GA124" s="87" t="e">
        <f>ABS(ROUNDUP(($DD124*$I124*100*POWER($CW124,2)-2*($EQ122+IF(J122=0,0,IF(VALUE(RIGHT($J122,4))=1,$EP122*$I122*100*$CW124,0))))/2/($I124*100)/$DN124,1))</f>
        <v>#DIV/0!</v>
      </c>
      <c r="GB124" s="87" t="e">
        <f>ABS(ROUNDUP((5*$DD124*POWER($I124*100,4)-$DD124*POWER($I122*100,2)-24.6528*($GD122+$EP122*$I122*100*POWER($I124*100,2)))/(384*VLOOKUP(VALUE(RIGHT($O122,4)),許容応力!$B$6:$K$22,10)*100*$DZ124),2))</f>
        <v>#VALUE!</v>
      </c>
    </row>
    <row r="125" spans="2:186" ht="15.95" customHeight="1" x14ac:dyDescent="0.15">
      <c r="B125" s="1514"/>
      <c r="C125" s="1499"/>
      <c r="D125" s="1502"/>
      <c r="E125" s="1509"/>
      <c r="F125" s="1511"/>
      <c r="G125" s="1359"/>
      <c r="H125" s="1359"/>
      <c r="I125" s="1359"/>
      <c r="J125" s="304"/>
      <c r="K125" s="300"/>
      <c r="L125" s="300"/>
      <c r="M125" s="310" t="s">
        <v>263</v>
      </c>
      <c r="N125" s="301"/>
      <c r="O125" s="1605"/>
      <c r="P125" s="1193">
        <f>+IF(O122=0,0,"丸太末口 φ")</f>
        <v>0</v>
      </c>
      <c r="Q125" s="1194"/>
      <c r="R125" s="239">
        <f>IF(O122=0,0,+FP125)</f>
        <v>0</v>
      </c>
      <c r="S125" s="1120"/>
      <c r="T125" s="240" t="str">
        <f>IF(AA125=+"","",IF(AND(AA125&lt;=1,AB125&lt;=1,AD125&lt;=1,AE125&lt;=1),"OK!","NO!"))</f>
        <v/>
      </c>
      <c r="U125" s="240">
        <f>IF(W125=0,0,IF(IF(AC125&gt;=AF125,AC125,AF125)&lt;=1,"OK!","NO!"))</f>
        <v>0</v>
      </c>
      <c r="V125" s="827"/>
      <c r="W125" s="159"/>
      <c r="X125" s="205">
        <f>IF(W125=0,0,+CT125)</f>
        <v>0</v>
      </c>
      <c r="Y125" s="205" t="str">
        <f>IF(X125=0,"",ROUND(POWER(W125*X125,2)/(IF(V125=0,(R125/10-6)*(R125/10-3),(V125/10-6)*(V125/10-3))),2))</f>
        <v/>
      </c>
      <c r="Z125" s="206" t="str">
        <f>IF(EM125&gt;=EN125,EM125,EN125)</f>
        <v/>
      </c>
      <c r="AA125" s="206" t="str">
        <f>IF(R125=0,"",ROUNDUP(DE125/DM125,2))</f>
        <v/>
      </c>
      <c r="AB125" s="206" t="str">
        <f>IF(R125=0,"",ROUND(DF125/DT125,2))</f>
        <v/>
      </c>
      <c r="AC125" s="206" t="str">
        <f>IF(W125=0,"",ROUND(DG125/DO125,2))</f>
        <v/>
      </c>
      <c r="AD125" s="206" t="str">
        <f>IF(R125=0,"",ROUNDUP(DH125/DN125,2))</f>
        <v/>
      </c>
      <c r="AE125" s="206" t="str">
        <f>IF(R125=0,"",ROUNDUP(DI125/DZ125,2))</f>
        <v/>
      </c>
      <c r="AF125" s="206" t="str">
        <f>IF(W125=0,"",ROUNDUP(DJ125/DP125,2))</f>
        <v/>
      </c>
      <c r="AG125" s="323"/>
      <c r="AH125" s="324"/>
      <c r="AI125" s="324"/>
      <c r="AJ125" s="324"/>
      <c r="AK125" s="325"/>
      <c r="AL125" s="325"/>
      <c r="AM125" s="589"/>
      <c r="AN125" s="184">
        <f>IF(I124=0,0,+AN122)</f>
        <v>0</v>
      </c>
      <c r="AO125" s="185">
        <f>IF(I124=0,0,+AO124)</f>
        <v>0</v>
      </c>
      <c r="CP125" s="9" t="e">
        <f>ROUNDUP((DC125*I124*100/2*4/3/DQ125),2)</f>
        <v>#N/A</v>
      </c>
      <c r="CQ125" s="9" t="e">
        <f>ROUNDUP((DD125*I124*100/2*4/3/DR125),2)</f>
        <v>#N/A</v>
      </c>
      <c r="CR125" s="23" t="e">
        <f>IF(CP125&gt;=CQ125,CP125,CQ125)</f>
        <v>#N/A</v>
      </c>
      <c r="CS125" s="23" t="e">
        <f>IF(CP125&gt;=CQ125,CP125,CQ125)</f>
        <v>#N/A</v>
      </c>
      <c r="CT125" s="9">
        <f>IF(R125=0,0,ROUNDUP(SQRT(IF(V125=0,(Z125*(R125/10-6)*(R125/10-3)),(Z125*(V125/10-6)*(V125/10-3)))/(W125*W125)),2))</f>
        <v>0</v>
      </c>
      <c r="CU125" s="9"/>
      <c r="CV125" s="23"/>
      <c r="CW125" s="23"/>
      <c r="CY125" s="63"/>
      <c r="CZ125" s="63">
        <f>ROUNDUP(IF(VALUE(RIGHT($G$3,3))=1,DA125*0.7,0),0)</f>
        <v>0</v>
      </c>
      <c r="DA125" s="63" t="e">
        <f>ROUNDUP(IF(VALUE(RIGHT($G$3,4))=1,$I$3*30*F124*100,$I$3*20*F124*100),0)</f>
        <v>#VALUE!</v>
      </c>
      <c r="DB125" s="63"/>
      <c r="DC125" s="78" t="e">
        <f>ROUNDUP((準備!$G$60/100+準備!$D$48/100)*($G124+$H124)/2,2)+IF($M127=0,0,$EQ125)</f>
        <v>#N/A</v>
      </c>
      <c r="DD125" s="78">
        <f>ROUNDUP((準備!$G$60/100+6)*(G124+H124)/2,2)+IF(M127=0,0,EQ125)</f>
        <v>0</v>
      </c>
      <c r="DE125" s="87" t="e">
        <f>ABS(ROUNDUP(($DC125*$I124*100*POWER($CW124,2)-2*($GD123+$EO122*$I122*100*$CW124))/2/($I124*100)/$DK125,1))</f>
        <v>#N/A</v>
      </c>
      <c r="DF125" s="87" t="e">
        <f>ABS(ROUNDUP((5*$DC125*POWER($I124*100,4)-$DC125*POWER($I122*100,2)-24.6528*($GD122+IF(J122=0,0,IF(VALUE(RIGHT($J122,4))=1,$EO123*$I122*100*POWER($I124*100,2),0))))/(384*VLOOKUP(VALUE(RIGHT($O122,4)),許容応力!$B$6:$K$22,10)*100*$DL125*100),2))</f>
        <v>#N/A</v>
      </c>
      <c r="DG125" s="87" t="e">
        <f>ROUND(($DC125*($I124*100-$CW124)+(GD122*I122*100/(I124*100)+IF(J122=0,0,IF(VALUE(RIGHT($J122,4))=1,$EO122*$I122*100/($I124*100),0))))/($Y125*3*2),1)</f>
        <v>#N/A</v>
      </c>
      <c r="DH125" s="87" t="e">
        <f>ABS(ROUNDUP(($DD125*$I124*100*POWER($CW124,2)-2*($GD122+IF(J122=0,0,IF(VALUE(RIGHT($J122,4))=1,$EP122*$I122*100*$CW124,0))))/2/($I124*100)/$DK125,1))</f>
        <v>#DIV/0!</v>
      </c>
      <c r="DI125" s="87" t="e">
        <f>ABS(ROUNDUP((5*$DD125*POWER($I124*100,4)-$DD125*POWER($I122*100,2)-24.6528*($GD122+$EP123*$I122*100*POWER($I124*100,2)))/(384*VLOOKUP(VALUE(RIGHT($O122,4)),許容応力!$B$6:$K$22,10)*100*$DL125*100),2))</f>
        <v>#VALUE!</v>
      </c>
      <c r="DJ125" s="87" t="e">
        <f>ROUND(($DD125*($I124*100-$CW124)+(GD122*I122*100/(I124*100)+IF(J122=0,0,IF(VALUE(RIGHT($J122,4))=1,$EP122*$I122*100/($I124*100),0))))/($Y125*3*2),1)</f>
        <v>#DIV/0!</v>
      </c>
      <c r="DK125" s="63">
        <f>ROUNDDOWN(PI()*POWER($R125/2/10,2)*($R125/10-IF($R125&lt;180,2,6))/4*IF(OR($S125=0,$S125=1),1,$S125),0)</f>
        <v>0</v>
      </c>
      <c r="DL125" s="63">
        <f>ROUNDDOWN(PI()*POWER($R125/2/10,3)*($R125/10-IF($R125&lt;180,0,6))/4*IF(OR($S125=0,$S125=1),1,$S125),0)</f>
        <v>0</v>
      </c>
      <c r="DM125" s="10" t="e">
        <f>IF($DN$6=2,ROUND(VLOOKUP(DV125,許容応力!$L$6:$U$22,7)*1.1/3*100,0),ROUND(VLOOKUP(DV125,許容応力!$L$6:$U$22,7)*1.1/3*1.3*100,0))</f>
        <v>#N/A</v>
      </c>
      <c r="DN125" s="63" t="e">
        <f>ROUND(VLOOKUP(DV125,許容応力!$L$6:$U$22,7)*100*2/3*0.8,0)</f>
        <v>#N/A</v>
      </c>
      <c r="DO125" s="10" t="e">
        <f>IF($DN$6=2,ROUND(VLOOKUP(DV125,許容応力!$L$6:$U$22,8)*1.1/3*100,0),ROUND(VLOOKUP(DV125,許容応力!$L$6:$U$22,8)*1.1/3*1.3*100,0))</f>
        <v>#N/A</v>
      </c>
      <c r="DP125" s="63" t="e">
        <f>ROUND(VLOOKUP(DV125,許容応力!$L$6:$U$22,8)*100*2/3*0.8,0)</f>
        <v>#N/A</v>
      </c>
      <c r="DQ125" s="10" t="e">
        <f>IF($DN$6=2,ROUND(VLOOKUP(DV125,許容応力!$L$6:$U$22,9)*1.1/3*100,0),ROUND(VLOOKUP(DV125,許容応力!$L$6:$U$22,9)*1.1/3*1.3*100,0))</f>
        <v>#N/A</v>
      </c>
      <c r="DR125" s="63" t="e">
        <f>ROUND(VLOOKUP(DV125,許容応力!$L$6:$U$22,9)*100*2/3*0.8,0)</f>
        <v>#N/A</v>
      </c>
      <c r="DS125" s="63">
        <v>600</v>
      </c>
      <c r="DT125" s="63">
        <f>ROUND(I124*100/DS125,2)</f>
        <v>0</v>
      </c>
      <c r="DU125" s="63"/>
      <c r="DV125" s="78">
        <f>+VALUE(RIGHT(O124,3))</f>
        <v>0</v>
      </c>
      <c r="DW125" s="69">
        <f>ROUND(ATAN(E124/10)*180/PI(),4)</f>
        <v>0</v>
      </c>
      <c r="DX125" s="70">
        <f>ROUND(COS(DW125*PI()/180),3)</f>
        <v>1</v>
      </c>
      <c r="DY125" s="63">
        <v>225</v>
      </c>
      <c r="DZ125" s="63">
        <f>ROUND(I124*100/DY125,2)</f>
        <v>0</v>
      </c>
      <c r="EA125" s="63"/>
      <c r="EB125" s="78" t="e">
        <f>ROUNDUP((準備!$G$60/100+準備!$E$48/100)*($G124+$H124)/2,2)+IF(J122=0,0,IF(VALUE(RIGHT($J122,4))=1,$EQ125,0))</f>
        <v>#N/A</v>
      </c>
      <c r="EC125" s="63"/>
      <c r="ED125" s="71">
        <f>IF(I124&lt;6,POWER(R125/10,2)*I124/10000,POWER((R125/10+(ROUNDDOWN(I124,0)-4)/2),2)*I124/10000)</f>
        <v>0</v>
      </c>
      <c r="EE125" s="63">
        <v>200</v>
      </c>
      <c r="EF125" s="84">
        <f>ROUND(ED125*EE125/100,0)</f>
        <v>0</v>
      </c>
      <c r="EG125" s="63" t="e">
        <f>ROUND((DC125*I124*100/2+EF125)/AK125,1)</f>
        <v>#N/A</v>
      </c>
      <c r="EH125" s="63" t="e">
        <f>ROUND(EG125/DQ125,2)</f>
        <v>#N/A</v>
      </c>
      <c r="EI125" s="63" t="e">
        <f>ROUND((DD125*I124*100/2+EF125)/AK125,1)</f>
        <v>#DIV/0!</v>
      </c>
      <c r="EJ125" s="63" t="e">
        <f>ROUND(EI125/DR125,2)</f>
        <v>#DIV/0!</v>
      </c>
      <c r="EK125" s="63" t="e">
        <f>ROUNDUP(IF(F124&gt;=F125,F124,F125)*EC125/#REF!,2)</f>
        <v>#VALUE!</v>
      </c>
      <c r="EL125" s="63" t="e">
        <f>ROUNDUP(IF(F124&gt;=F125,F124,F125)*ED125/#REF!,2)</f>
        <v>#VALUE!</v>
      </c>
      <c r="EM125" s="87" t="str">
        <f>IF(E124=0,"",ROUND(DC125*I124*100/2/DO125,1))</f>
        <v/>
      </c>
      <c r="EN125" s="87" t="str">
        <f>IF(E124=0,"",ROUND(DD125*I124*100/2/DP125,1))</f>
        <v/>
      </c>
      <c r="EO125" s="63">
        <f>IF(L122=0,0,ROUNDUP((準備!$G$57/DX125+IF(AND(VALUE(RIGHT($G$3,4))=1,$T$3=2),CZ125/DX125*1.2,CZ125/DX125))*(K122+K123)/2*(L122+L123)/2,0))</f>
        <v>0</v>
      </c>
      <c r="EP125" s="63">
        <f>IF(L122=0,0,ROUNDUP((準備!$G$57/DX125+IF(AND(VALUE(RIGHT($G$3,4))=1,$T$3=2),DA125/DX125*1.2,DA125/DX125))*(K122+K123)/2*(L122+L123)/2,0))</f>
        <v>0</v>
      </c>
      <c r="EQ125" s="63">
        <f>+EQ124</f>
        <v>0</v>
      </c>
      <c r="ER125" s="63" t="e">
        <f>IF(VALUE(RIGHT(J124,4))=2,0,ROUNDUP(N126*100*N127*100/(I124*100)*EO125/DK125,1))</f>
        <v>#VALUE!</v>
      </c>
      <c r="ES125" s="63" t="e">
        <f>IF(FC125=2,0,ROUNDUP(N296*N127/I124*100*EP125/DK125,1))</f>
        <v>#VALUE!</v>
      </c>
      <c r="ET125" s="63" t="e">
        <f>ROUNDUP(EO125*IF(N126&gt;=N127,N126*100,N127*100)*SQRT(POWER(ABS(POWER(N126,2)-POWER(N127,2)),3)/(9*SQRT(3)*EV125*DL125*I124)),2)</f>
        <v>#N/A</v>
      </c>
      <c r="EU125" s="63" t="e">
        <f>ROUNDUP(EP125*IF(N126&gt;=N127,N126*100,N127*100)*SQRT(POWER(ABS(POWER(N126,2)-POWER(N127,2)),3)/(9*SQRT(3)*EV125*DL125*I124)),2)</f>
        <v>#N/A</v>
      </c>
      <c r="EV125" s="63" t="e">
        <f>+VLOOKUP(DV125,許容応力!$L$6:$V$22,10)*100</f>
        <v>#N/A</v>
      </c>
      <c r="EW125" s="63" t="e">
        <f>ROUNDUP(IF(N126&gt;=N127,N126,N127)*EO125/I124,0)</f>
        <v>#DIV/0!</v>
      </c>
      <c r="EX125" s="63" t="e">
        <f>ROUNDUP(IF(N126&gt;=N127,N126,N127)*EP125/I124,0)</f>
        <v>#DIV/0!</v>
      </c>
      <c r="EY125" s="63" t="e">
        <f>ROUND(EW125*100/AK125,1)</f>
        <v>#DIV/0!</v>
      </c>
      <c r="EZ125" s="63" t="e">
        <f>ROUND(EY125/DQ125,2)</f>
        <v>#DIV/0!</v>
      </c>
      <c r="FA125" s="63" t="e">
        <f>ROUND(EX125*100/AK125,1)</f>
        <v>#DIV/0!</v>
      </c>
      <c r="FB125" s="63" t="e">
        <f>ROUND(FA125/DR125,2)</f>
        <v>#DIV/0!</v>
      </c>
      <c r="FC125" s="63" t="e">
        <f>+VALUE(RIGHT(J122,3))</f>
        <v>#VALUE!</v>
      </c>
      <c r="FD125" s="63">
        <f>IF($DN$6=2,400,200)</f>
        <v>200</v>
      </c>
      <c r="FE125" s="63">
        <f>ROUND(I124*100/FD125,2)</f>
        <v>0</v>
      </c>
      <c r="FF125" s="78">
        <v>200</v>
      </c>
      <c r="FG125" s="63">
        <f>ROUND(I124*100/FF125,2)</f>
        <v>0</v>
      </c>
      <c r="FH125" s="78" t="e">
        <f>ROUND(ET125/FE125,1)</f>
        <v>#N/A</v>
      </c>
      <c r="FI125" s="78" t="e">
        <f>ROUND(EU125/FG125,1)</f>
        <v>#N/A</v>
      </c>
      <c r="FJ125" s="78"/>
      <c r="FK125" s="63" t="e">
        <f>IF(FR125&lt;42,60,VLOOKUP(FR125,$CR$301:$CS$344,2))</f>
        <v>#N/A</v>
      </c>
      <c r="FL125" s="63" t="e">
        <f>VLOOKUP(FS125,$CT$301:$CU$344,2)</f>
        <v>#N/A</v>
      </c>
      <c r="FN125" s="63" t="e">
        <f>IF(FU125&lt;42,60,VLOOKUP(FU125,$CR$301:$CS$344,2))</f>
        <v>#DIV/0!</v>
      </c>
      <c r="FO125" s="63" t="e">
        <f>VLOOKUP(FV125,$CT$301:$CU$344,2)</f>
        <v>#VALUE!</v>
      </c>
      <c r="FP125" s="155" t="e">
        <f>+MAX(FK125:FO125)</f>
        <v>#N/A</v>
      </c>
      <c r="FQ125" s="2"/>
      <c r="FR125" s="87" t="e">
        <f>ABS(ROUNDUP(($DC125*$I124*100*POWER($CW124,2)-2*($GD123+$EO122*$I122*100*$CW124))/2/($I124*100)/$DM125,1))</f>
        <v>#N/A</v>
      </c>
      <c r="FS125" s="87" t="e">
        <f>ABS(ROUNDUP((5*$DC125*POWER($I124*100,4)-$DC125*POWER($I122*100,2)-24.6528*($GD122+IF(J122=0,0,IF(VALUE(RIGHT($J122,4))=1,$EO123*$I122*100*POWER($I124*100,2),0))))/(384*VLOOKUP(VALUE(RIGHT($O122,4)),許容応力!$B$6:$K$22,10)*100*$DT125),2))</f>
        <v>#N/A</v>
      </c>
      <c r="FT125" s="87"/>
      <c r="FU125" s="87" t="e">
        <f>ABS(ROUNDUP(($DD125*$I124*100*POWER($CW124,2)-2*($GD122+IF(J122=0,0,IF(VALUE(RIGHT($J122,4))=1,$EP122*$I122*100*$CW124,0))))/2/($I124*100)/$DN125,1))</f>
        <v>#DIV/0!</v>
      </c>
      <c r="FV125" s="87" t="e">
        <f>ABS(ROUNDUP((5*$DD125*POWER($I124*100,4)-$DD125*POWER($I122*100,2)-24.6528*($GD122+$EP123*$I122*100*POWER($I124*100,2)))/(384*VLOOKUP(VALUE(RIGHT($O122,4)),許容応力!$B$6:$K$22,10)*100*$DZ125),2))</f>
        <v>#VALUE!</v>
      </c>
      <c r="FW125" s="2"/>
      <c r="FX125" s="2"/>
    </row>
    <row r="126" spans="2:186" ht="15.95" customHeight="1" x14ac:dyDescent="0.15">
      <c r="B126" s="1514"/>
      <c r="C126" s="1368"/>
      <c r="D126" s="298"/>
      <c r="E126" s="176"/>
      <c r="F126" s="313"/>
      <c r="G126" s="1382" t="s">
        <v>714</v>
      </c>
      <c r="H126" s="1594" t="s">
        <v>733</v>
      </c>
      <c r="I126" s="233" t="s">
        <v>845</v>
      </c>
      <c r="J126" s="1145"/>
      <c r="K126" s="1594" t="s">
        <v>719</v>
      </c>
      <c r="L126" s="1606"/>
      <c r="M126" s="311" t="s">
        <v>254</v>
      </c>
      <c r="N126" s="312"/>
      <c r="O126" s="302"/>
      <c r="P126" s="302"/>
      <c r="Q126" s="302"/>
      <c r="R126" s="302"/>
      <c r="S126" s="302"/>
      <c r="T126" s="302"/>
      <c r="U126" s="302"/>
      <c r="V126" s="302"/>
      <c r="W126" s="302"/>
      <c r="X126" s="302"/>
      <c r="Y126" s="302"/>
      <c r="Z126" s="302"/>
      <c r="AA126" s="302"/>
      <c r="AB126" s="302"/>
      <c r="AC126" s="302"/>
      <c r="AD126" s="302"/>
      <c r="AE126" s="302"/>
      <c r="AF126" s="176"/>
      <c r="AG126" s="302"/>
      <c r="AH126" s="302"/>
      <c r="AI126" s="302"/>
      <c r="AJ126" s="302"/>
      <c r="AK126" s="302"/>
      <c r="AL126" s="302"/>
      <c r="AM126" s="181"/>
      <c r="AN126" s="378"/>
      <c r="AO126" s="379"/>
      <c r="CP126" s="9"/>
      <c r="CQ126" s="9"/>
      <c r="CR126" s="23"/>
      <c r="CS126" s="23"/>
      <c r="CT126" s="9"/>
      <c r="CU126" s="9"/>
      <c r="CV126" s="23"/>
      <c r="CZ126" s="3" t="e">
        <f>+CZ76</f>
        <v>#VALUE!</v>
      </c>
      <c r="DA126" s="3" t="e">
        <f t="shared" ref="DA126:FI126" si="290">+DA76</f>
        <v>#VALUE!</v>
      </c>
      <c r="DB126" s="3" t="e">
        <f t="shared" si="290"/>
        <v>#VALUE!</v>
      </c>
      <c r="DC126" s="3">
        <f t="shared" si="290"/>
        <v>0</v>
      </c>
      <c r="DD126" s="3">
        <f t="shared" si="290"/>
        <v>0</v>
      </c>
      <c r="DE126" s="3" t="e">
        <f t="shared" si="290"/>
        <v>#VALUE!</v>
      </c>
      <c r="DF126" s="3" t="e">
        <f t="shared" si="290"/>
        <v>#VALUE!</v>
      </c>
      <c r="DG126" s="3">
        <f t="shared" si="290"/>
        <v>4</v>
      </c>
      <c r="DH126" s="3">
        <f t="shared" si="290"/>
        <v>0</v>
      </c>
      <c r="DI126" s="3">
        <f t="shared" si="290"/>
        <v>0</v>
      </c>
      <c r="DJ126" s="3" t="e">
        <f t="shared" si="290"/>
        <v>#VALUE!</v>
      </c>
      <c r="DK126" s="3">
        <f t="shared" si="290"/>
        <v>0</v>
      </c>
      <c r="DL126" s="3">
        <f t="shared" si="290"/>
        <v>1</v>
      </c>
      <c r="DM126" s="3">
        <f t="shared" si="290"/>
        <v>150</v>
      </c>
      <c r="DN126" s="3">
        <f t="shared" si="290"/>
        <v>0</v>
      </c>
      <c r="DO126" s="3">
        <f t="shared" si="290"/>
        <v>0</v>
      </c>
      <c r="DP126" s="3">
        <f t="shared" si="290"/>
        <v>0</v>
      </c>
      <c r="DQ126" s="3">
        <f t="shared" si="290"/>
        <v>0</v>
      </c>
      <c r="DR126" s="3">
        <f t="shared" si="290"/>
        <v>0</v>
      </c>
      <c r="DS126" s="3" t="e">
        <f t="shared" si="290"/>
        <v>#VALUE!</v>
      </c>
      <c r="DT126" s="3" t="e">
        <f t="shared" si="290"/>
        <v>#VALUE!</v>
      </c>
      <c r="DU126" s="3">
        <f t="shared" si="290"/>
        <v>0</v>
      </c>
      <c r="DV126" s="3" t="e">
        <f t="shared" si="290"/>
        <v>#VALUE!</v>
      </c>
      <c r="DW126" s="3" t="e">
        <f t="shared" si="290"/>
        <v>#VALUE!</v>
      </c>
      <c r="DX126" s="3" t="e">
        <f t="shared" si="290"/>
        <v>#VALUE!</v>
      </c>
      <c r="DY126" s="3" t="e">
        <f t="shared" si="290"/>
        <v>#VALUE!</v>
      </c>
      <c r="DZ126" s="3" t="e">
        <f t="shared" si="290"/>
        <v>#VALUE!</v>
      </c>
      <c r="EA126" s="3">
        <f t="shared" si="290"/>
        <v>0</v>
      </c>
      <c r="EB126" s="3" t="e">
        <f t="shared" si="290"/>
        <v>#VALUE!</v>
      </c>
      <c r="EC126" s="3" t="e">
        <f t="shared" si="290"/>
        <v>#VALUE!</v>
      </c>
      <c r="ED126" s="3">
        <f t="shared" si="290"/>
        <v>0</v>
      </c>
      <c r="EE126" s="3" t="e">
        <f t="shared" si="290"/>
        <v>#VALUE!</v>
      </c>
      <c r="EF126" s="3" t="e">
        <f t="shared" si="290"/>
        <v>#VALUE!</v>
      </c>
      <c r="EG126" s="3">
        <f t="shared" si="290"/>
        <v>0</v>
      </c>
      <c r="EH126" s="3" t="e">
        <f t="shared" si="290"/>
        <v>#VALUE!</v>
      </c>
      <c r="EI126" s="3" t="e">
        <f t="shared" si="290"/>
        <v>#VALUE!</v>
      </c>
      <c r="EJ126" s="3">
        <f t="shared" si="290"/>
        <v>0</v>
      </c>
      <c r="EK126" s="3">
        <f t="shared" si="290"/>
        <v>0</v>
      </c>
      <c r="EL126" s="3">
        <f t="shared" si="290"/>
        <v>0</v>
      </c>
      <c r="EM126" s="3">
        <f t="shared" si="290"/>
        <v>0</v>
      </c>
      <c r="EN126" s="3">
        <f t="shared" si="290"/>
        <v>0</v>
      </c>
      <c r="EO126" s="3">
        <f t="shared" si="290"/>
        <v>0</v>
      </c>
      <c r="EP126" s="3">
        <f t="shared" si="290"/>
        <v>0</v>
      </c>
      <c r="EQ126" s="3">
        <f t="shared" si="290"/>
        <v>0</v>
      </c>
      <c r="ER126" s="3">
        <f t="shared" si="290"/>
        <v>0</v>
      </c>
      <c r="ES126" s="3">
        <f t="shared" si="290"/>
        <v>0</v>
      </c>
      <c r="ET126" s="3">
        <f t="shared" si="290"/>
        <v>0</v>
      </c>
      <c r="EU126" s="3">
        <f t="shared" si="290"/>
        <v>0</v>
      </c>
      <c r="EV126" s="3">
        <f t="shared" si="290"/>
        <v>0</v>
      </c>
      <c r="EW126" s="3">
        <f t="shared" si="290"/>
        <v>0</v>
      </c>
      <c r="EX126" s="3">
        <f t="shared" si="290"/>
        <v>0</v>
      </c>
      <c r="EY126" s="3">
        <f t="shared" si="290"/>
        <v>0</v>
      </c>
      <c r="EZ126" s="3">
        <f t="shared" si="290"/>
        <v>0</v>
      </c>
      <c r="FA126" s="3">
        <f t="shared" si="290"/>
        <v>0</v>
      </c>
      <c r="FB126" s="3">
        <f t="shared" si="290"/>
        <v>0</v>
      </c>
      <c r="FC126" s="3">
        <f t="shared" si="290"/>
        <v>0</v>
      </c>
      <c r="FD126" s="3">
        <f t="shared" si="290"/>
        <v>0</v>
      </c>
      <c r="FE126" s="3">
        <f t="shared" si="290"/>
        <v>0</v>
      </c>
      <c r="FF126" s="3">
        <f t="shared" si="290"/>
        <v>0</v>
      </c>
      <c r="FG126" s="3">
        <f t="shared" si="290"/>
        <v>0</v>
      </c>
      <c r="FH126" s="3">
        <f t="shared" si="290"/>
        <v>0</v>
      </c>
      <c r="FI126" s="3">
        <f t="shared" si="290"/>
        <v>0</v>
      </c>
    </row>
    <row r="127" spans="2:186" ht="15.95" customHeight="1" thickBot="1" x14ac:dyDescent="0.2">
      <c r="B127" s="1515"/>
      <c r="C127" s="1500"/>
      <c r="D127" s="299"/>
      <c r="E127" s="225"/>
      <c r="F127" s="297"/>
      <c r="G127" s="1176"/>
      <c r="H127" s="1595"/>
      <c r="I127" s="232" t="s">
        <v>846</v>
      </c>
      <c r="J127" s="133"/>
      <c r="K127" s="1595"/>
      <c r="L127" s="1607"/>
      <c r="M127" s="307" t="s">
        <v>255</v>
      </c>
      <c r="N127" s="308"/>
      <c r="O127" s="225"/>
      <c r="P127" s="225"/>
      <c r="Q127" s="225"/>
      <c r="R127" s="225"/>
      <c r="S127" s="225"/>
      <c r="T127" s="225"/>
      <c r="U127" s="225"/>
      <c r="V127" s="225"/>
      <c r="W127" s="225"/>
      <c r="X127" s="225"/>
      <c r="Y127" s="225"/>
      <c r="Z127" s="225"/>
      <c r="AA127" s="225"/>
      <c r="AB127" s="225"/>
      <c r="AC127" s="225"/>
      <c r="AD127" s="225"/>
      <c r="AE127" s="225"/>
      <c r="AF127" s="225"/>
      <c r="AG127" s="225"/>
      <c r="AH127" s="225"/>
      <c r="AI127" s="225"/>
      <c r="AJ127" s="225"/>
      <c r="AK127" s="225"/>
      <c r="AL127" s="225"/>
      <c r="AM127" s="175"/>
      <c r="AN127" s="380"/>
      <c r="AO127" s="175"/>
      <c r="CP127" s="9"/>
      <c r="CQ127" s="9"/>
      <c r="CR127" s="23"/>
      <c r="CS127" s="23"/>
      <c r="CT127" s="9"/>
      <c r="CU127" s="9"/>
      <c r="CV127" s="23"/>
      <c r="CZ127" s="3" t="e">
        <f>+CZ77</f>
        <v>#VALUE!</v>
      </c>
      <c r="DA127" s="3" t="e">
        <f t="shared" ref="DA127:FI127" si="291">+DA77</f>
        <v>#VALUE!</v>
      </c>
      <c r="DB127" s="3" t="e">
        <f t="shared" si="291"/>
        <v>#VALUE!</v>
      </c>
      <c r="DC127" s="3">
        <f t="shared" si="291"/>
        <v>0</v>
      </c>
      <c r="DD127" s="3">
        <f t="shared" si="291"/>
        <v>0</v>
      </c>
      <c r="DE127" s="3" t="e">
        <f t="shared" si="291"/>
        <v>#VALUE!</v>
      </c>
      <c r="DF127" s="3" t="e">
        <f t="shared" si="291"/>
        <v>#VALUE!</v>
      </c>
      <c r="DG127" s="3">
        <f t="shared" si="291"/>
        <v>4</v>
      </c>
      <c r="DH127" s="3">
        <f t="shared" si="291"/>
        <v>0</v>
      </c>
      <c r="DI127" s="3">
        <f t="shared" si="291"/>
        <v>0</v>
      </c>
      <c r="DJ127" s="3" t="e">
        <f t="shared" si="291"/>
        <v>#VALUE!</v>
      </c>
      <c r="DK127" s="3">
        <f t="shared" si="291"/>
        <v>0</v>
      </c>
      <c r="DL127" s="3">
        <f t="shared" si="291"/>
        <v>1</v>
      </c>
      <c r="DM127" s="3">
        <f t="shared" si="291"/>
        <v>150</v>
      </c>
      <c r="DN127" s="3">
        <f t="shared" si="291"/>
        <v>0</v>
      </c>
      <c r="DO127" s="3">
        <f t="shared" si="291"/>
        <v>0</v>
      </c>
      <c r="DP127" s="3">
        <f t="shared" si="291"/>
        <v>0</v>
      </c>
      <c r="DQ127" s="3">
        <f t="shared" si="291"/>
        <v>0</v>
      </c>
      <c r="DR127" s="3">
        <f t="shared" si="291"/>
        <v>0</v>
      </c>
      <c r="DS127" s="3" t="e">
        <f t="shared" si="291"/>
        <v>#VALUE!</v>
      </c>
      <c r="DT127" s="3" t="e">
        <f t="shared" si="291"/>
        <v>#VALUE!</v>
      </c>
      <c r="DU127" s="3">
        <f t="shared" si="291"/>
        <v>0</v>
      </c>
      <c r="DV127" s="3" t="e">
        <f t="shared" si="291"/>
        <v>#VALUE!</v>
      </c>
      <c r="DW127" s="3" t="e">
        <f t="shared" si="291"/>
        <v>#VALUE!</v>
      </c>
      <c r="DX127" s="3" t="e">
        <f t="shared" si="291"/>
        <v>#VALUE!</v>
      </c>
      <c r="DY127" s="3" t="e">
        <f t="shared" si="291"/>
        <v>#VALUE!</v>
      </c>
      <c r="DZ127" s="3" t="e">
        <f t="shared" si="291"/>
        <v>#VALUE!</v>
      </c>
      <c r="EA127" s="3">
        <f t="shared" si="291"/>
        <v>0</v>
      </c>
      <c r="EB127" s="3" t="e">
        <f t="shared" si="291"/>
        <v>#VALUE!</v>
      </c>
      <c r="EC127" s="3" t="e">
        <f t="shared" si="291"/>
        <v>#VALUE!</v>
      </c>
      <c r="ED127" s="3">
        <f t="shared" si="291"/>
        <v>0</v>
      </c>
      <c r="EE127" s="3" t="e">
        <f t="shared" si="291"/>
        <v>#VALUE!</v>
      </c>
      <c r="EF127" s="3" t="e">
        <f t="shared" si="291"/>
        <v>#VALUE!</v>
      </c>
      <c r="EG127" s="3">
        <f t="shared" si="291"/>
        <v>0</v>
      </c>
      <c r="EH127" s="3" t="e">
        <f t="shared" si="291"/>
        <v>#VALUE!</v>
      </c>
      <c r="EI127" s="3" t="e">
        <f t="shared" si="291"/>
        <v>#VALUE!</v>
      </c>
      <c r="EJ127" s="3">
        <f t="shared" si="291"/>
        <v>0</v>
      </c>
      <c r="EK127" s="3">
        <f t="shared" si="291"/>
        <v>0</v>
      </c>
      <c r="EL127" s="3">
        <f t="shared" si="291"/>
        <v>0</v>
      </c>
      <c r="EM127" s="3">
        <f t="shared" si="291"/>
        <v>0</v>
      </c>
      <c r="EN127" s="3">
        <f t="shared" si="291"/>
        <v>0</v>
      </c>
      <c r="EO127" s="3">
        <f t="shared" si="291"/>
        <v>0</v>
      </c>
      <c r="EP127" s="3">
        <f t="shared" si="291"/>
        <v>0</v>
      </c>
      <c r="EQ127" s="3">
        <f t="shared" si="291"/>
        <v>0</v>
      </c>
      <c r="ER127" s="3">
        <f t="shared" si="291"/>
        <v>0</v>
      </c>
      <c r="ES127" s="3">
        <f t="shared" si="291"/>
        <v>0</v>
      </c>
      <c r="ET127" s="3">
        <f t="shared" si="291"/>
        <v>0</v>
      </c>
      <c r="EU127" s="3">
        <f t="shared" si="291"/>
        <v>0</v>
      </c>
      <c r="EV127" s="3">
        <f t="shared" si="291"/>
        <v>0</v>
      </c>
      <c r="EW127" s="3">
        <f t="shared" si="291"/>
        <v>0</v>
      </c>
      <c r="EX127" s="3">
        <f t="shared" si="291"/>
        <v>0</v>
      </c>
      <c r="EY127" s="3">
        <f t="shared" si="291"/>
        <v>0</v>
      </c>
      <c r="EZ127" s="3">
        <f t="shared" si="291"/>
        <v>0</v>
      </c>
      <c r="FA127" s="3">
        <f t="shared" si="291"/>
        <v>0</v>
      </c>
      <c r="FB127" s="3">
        <f t="shared" si="291"/>
        <v>0</v>
      </c>
      <c r="FC127" s="3">
        <f t="shared" si="291"/>
        <v>0</v>
      </c>
      <c r="FD127" s="3">
        <f t="shared" si="291"/>
        <v>0</v>
      </c>
      <c r="FE127" s="3">
        <f t="shared" si="291"/>
        <v>0</v>
      </c>
      <c r="FF127" s="3">
        <f t="shared" si="291"/>
        <v>0</v>
      </c>
      <c r="FG127" s="3">
        <f t="shared" si="291"/>
        <v>0</v>
      </c>
      <c r="FH127" s="3">
        <f t="shared" si="291"/>
        <v>0</v>
      </c>
      <c r="FI127" s="3">
        <f t="shared" si="291"/>
        <v>0</v>
      </c>
    </row>
    <row r="128" spans="2:186" ht="15.95" customHeight="1" x14ac:dyDescent="0.15">
      <c r="CP128" s="9"/>
      <c r="CQ128" s="9"/>
      <c r="CR128" s="23"/>
      <c r="CS128" s="23"/>
      <c r="CT128" s="9"/>
      <c r="CU128" s="9"/>
      <c r="CV128" s="23"/>
    </row>
    <row r="129" spans="94:108" ht="15.95" customHeight="1" x14ac:dyDescent="0.15">
      <c r="CP129" s="9"/>
      <c r="CQ129" s="9"/>
      <c r="CR129" s="23"/>
      <c r="CS129" s="23"/>
      <c r="CT129" s="9"/>
      <c r="CU129" s="9"/>
      <c r="CV129" s="23"/>
      <c r="CZ129" s="63" t="e">
        <f>IF(#REF!=0,0,IF(VALUE(RIGHT(#REF!,4))=2,0,ROUNDUP(#REF!*100*#REF!*100/(#REF!*100)*#REF!/#REF!,1)))</f>
        <v>#REF!</v>
      </c>
      <c r="DA129" s="63" t="e">
        <f>IF(#REF!=2,0,IF(#REF!=0,0,ROUNDUP(#REF!*$EU$71*100*SQRT(POWER(ABS(POWER($EU$71*100,2)-POWER(#REF!*100,2)),3))/(9*SQRT(3)*#REF!*#REF!*#REF!*100),2)))</f>
        <v>#REF!</v>
      </c>
      <c r="DC129" s="63" t="e">
        <f>IF(#REF!=2,0,ROUNDUP(#REF!*#REF!/#REF!*100*#REF!/#REF!,1))</f>
        <v>#REF!</v>
      </c>
      <c r="DD129" s="63" t="e">
        <f>IF(#REF!=2,0,IF(#REF!=0,0,ROUNDUP(#REF!*$EU$71*100*SQRT(POWER(ABS(POWER($EU$71*100,2)-POWER(#REF!*100,2)),3))/(9*SQRT(3)*#REF!*#REF!*#REF!*100),2)))</f>
        <v>#REF!</v>
      </c>
    </row>
    <row r="130" spans="94:108" ht="15.95" customHeight="1" x14ac:dyDescent="0.15">
      <c r="CP130" s="9"/>
      <c r="CQ130" s="9"/>
      <c r="CR130" s="23"/>
      <c r="CS130" s="23"/>
      <c r="CT130" s="9"/>
      <c r="CU130" s="9"/>
      <c r="CV130" s="23"/>
      <c r="CZ130" s="3" t="e">
        <f>SUM(CZ128:CZ129)</f>
        <v>#REF!</v>
      </c>
      <c r="DA130" s="3" t="e">
        <f>SUM(DA128:DA129)</f>
        <v>#REF!</v>
      </c>
      <c r="DC130" s="3" t="e">
        <f>SUM(DC128:DC129)</f>
        <v>#REF!</v>
      </c>
      <c r="DD130" s="3" t="e">
        <f>SUM(DD128:DD129)</f>
        <v>#REF!</v>
      </c>
    </row>
    <row r="131" spans="94:108" ht="15.95" customHeight="1" x14ac:dyDescent="0.15">
      <c r="CS131" s="3" t="s">
        <v>778</v>
      </c>
      <c r="CZ131" s="63"/>
      <c r="DA131" s="63"/>
      <c r="DC131" s="63"/>
      <c r="DD131" s="63"/>
    </row>
    <row r="132" spans="94:108" ht="15.95" customHeight="1" x14ac:dyDescent="0.15">
      <c r="CS132" s="3" t="s">
        <v>779</v>
      </c>
      <c r="CU132" s="3" t="s">
        <v>780</v>
      </c>
    </row>
    <row r="133" spans="94:108" ht="15.95" customHeight="1" x14ac:dyDescent="0.15">
      <c r="CS133" s="63">
        <f>ROUNDDOWN(PI()*POWER(+CT133/2/10,2)*(+CT133/10-IF(CT133&lt;180,0,6))/4*IF(OR($AB$9=0,$AB$9=1),1,$AB$9),0)</f>
        <v>42</v>
      </c>
      <c r="CT133" s="3">
        <v>60</v>
      </c>
      <c r="CU133" s="63">
        <f>ROUNDDOWN(PI()*POWER(CV133/2/10,3)*(CV133/10-IF(CV133&lt;180,0,6))/4*IF(OR($AB$9=0,$AB$9=1),1,$AB$9),0)</f>
        <v>127</v>
      </c>
      <c r="CV133" s="3">
        <v>60</v>
      </c>
    </row>
    <row r="134" spans="94:108" ht="15.95" customHeight="1" x14ac:dyDescent="0.15">
      <c r="CS134" s="3">
        <f>+CS133+0.001</f>
        <v>42.000999999999998</v>
      </c>
      <c r="CT134" s="3">
        <v>75</v>
      </c>
      <c r="CU134" s="3">
        <f>+CU133+0.001</f>
        <v>127.001</v>
      </c>
      <c r="CV134" s="3">
        <v>75</v>
      </c>
      <c r="CZ134" s="63" t="e">
        <f>IF(#REF!=0,0,IF(VALUE(RIGHT(#REF!,4))=2,0,ROUNDUP(#REF!*100*#REF!*100/(#REF!*100)*#REF!/#REF!,1)))</f>
        <v>#REF!</v>
      </c>
      <c r="DA134" s="63" t="e">
        <f>IF(#REF!=2,0,IF(#REF!=0,0,ROUNDUP(#REF!*$EU$71*100*SQRT(POWER(ABS(POWER($EU$71*100,2)-POWER(#REF!*100,2)),3))/(9*SQRT(3)*#REF!*#REF!*#REF!*100),2)))</f>
        <v>#REF!</v>
      </c>
      <c r="DC134" s="63" t="e">
        <f>IF(#REF!=2,0,ROUNDUP(#REF!*#REF!/#REF!*100*#REF!/#REF!,1))</f>
        <v>#REF!</v>
      </c>
      <c r="DD134" s="63" t="e">
        <f>IF(#REF!=2,0,IF(#REF!=0,0,ROUNDUP(#REF!*$EU$71*100*SQRT(POWER(ABS(POWER($EU$71*100,2)-POWER(#REF!*100,2)),3))/(9*SQRT(3)*#REF!*#REF!*#REF!*100),2)))</f>
        <v>#REF!</v>
      </c>
    </row>
    <row r="135" spans="94:108" ht="15.95" customHeight="1" x14ac:dyDescent="0.15">
      <c r="CS135" s="63">
        <f>ROUNDDOWN(PI()*POWER(+CT135/2/10,2)*(+CT135/10-IF(CT135&lt;180,0,6))/4*IF(OR($AB$9=0,$AB$9=1),1,$AB$9),0)</f>
        <v>82</v>
      </c>
      <c r="CT135" s="3">
        <v>75</v>
      </c>
      <c r="CU135" s="63">
        <f>ROUNDDOWN(PI()*POWER(CV135/2/10,3)*(CV135/10-IF(CV135&lt;180,0,6))/4*IF(OR($AB$9=0,$AB$9=1),1,$AB$9),0)</f>
        <v>310</v>
      </c>
      <c r="CV135" s="3">
        <v>75</v>
      </c>
      <c r="CZ135" s="3" t="e">
        <f>SUM(CZ133:CZ134)</f>
        <v>#REF!</v>
      </c>
      <c r="DA135" s="3" t="e">
        <f>SUM(DA133:DA134)</f>
        <v>#REF!</v>
      </c>
      <c r="DC135" s="3" t="e">
        <f>SUM(DC133:DC134)</f>
        <v>#REF!</v>
      </c>
      <c r="DD135" s="3" t="e">
        <f>SUM(DD133:DD134)</f>
        <v>#REF!</v>
      </c>
    </row>
    <row r="136" spans="94:108" ht="15.95" customHeight="1" x14ac:dyDescent="0.15">
      <c r="CS136" s="156">
        <f>+CS135+0.001</f>
        <v>82.001000000000005</v>
      </c>
      <c r="CT136" s="3">
        <v>90</v>
      </c>
      <c r="CU136" s="3">
        <f>+CU135+0.001</f>
        <v>310.00099999999998</v>
      </c>
      <c r="CV136" s="3">
        <v>90</v>
      </c>
    </row>
    <row r="137" spans="94:108" ht="15.95" customHeight="1" x14ac:dyDescent="0.15">
      <c r="CR137" s="63"/>
      <c r="CS137" s="63">
        <f>ROUNDDOWN(PI()*POWER(+CT137/2/10,2)*(+CT137/10-IF(CT137&lt;180,0,6))/4*IF(OR($AB$9=0,$AB$9=1),1,$AB$9),0)</f>
        <v>143</v>
      </c>
      <c r="CT137" s="3">
        <v>90</v>
      </c>
      <c r="CU137" s="63">
        <f>ROUNDDOWN(PI()*POWER(CV137/2/10,3)*(CV137/10-IF(CV137&lt;180,0,6))/4*IF(OR($AB$9=0,$AB$9=1),1,$AB$9),0)</f>
        <v>644</v>
      </c>
      <c r="CV137" s="3">
        <v>90</v>
      </c>
    </row>
    <row r="138" spans="94:108" ht="15.95" customHeight="1" x14ac:dyDescent="0.15">
      <c r="CS138" s="156">
        <f>+CS137+0.001</f>
        <v>143.001</v>
      </c>
      <c r="CT138" s="3">
        <v>105</v>
      </c>
      <c r="CU138" s="3">
        <f>+CU137+0.001</f>
        <v>644.00099999999998</v>
      </c>
      <c r="CV138" s="3">
        <v>105</v>
      </c>
    </row>
    <row r="139" spans="94:108" ht="15.95" customHeight="1" x14ac:dyDescent="0.15">
      <c r="CS139" s="63">
        <f>ROUNDDOWN(PI()*POWER(+CT139/2/10,2)*(+CT139/10-IF(CT139&lt;180,0,6))/4*IF(OR($AB$9=0,$AB$9=1),1,$AB$9),0)</f>
        <v>227</v>
      </c>
      <c r="CT139" s="3">
        <v>105</v>
      </c>
      <c r="CU139" s="63">
        <f>ROUNDDOWN(PI()*POWER(CV139/2/10,3)*(CV139/10-IF(CV139&lt;180,0,6))/4*IF(OR($AB$9=0,$AB$9=1),1,$AB$9),0)</f>
        <v>1193</v>
      </c>
      <c r="CV139" s="3">
        <v>105</v>
      </c>
    </row>
    <row r="140" spans="94:108" ht="15.95" customHeight="1" x14ac:dyDescent="0.15">
      <c r="CS140" s="156">
        <f>+CS139+0.001</f>
        <v>227.001</v>
      </c>
      <c r="CT140" s="3">
        <v>120</v>
      </c>
      <c r="CU140" s="3">
        <f>+CU139+0.001</f>
        <v>1193.001</v>
      </c>
      <c r="CV140" s="3">
        <v>120</v>
      </c>
    </row>
    <row r="141" spans="94:108" ht="15.95" customHeight="1" x14ac:dyDescent="0.15">
      <c r="CS141" s="63">
        <f>ROUNDDOWN(PI()*POWER(+CT141/2/10,2)*(+CT141/10-IF(CT141&lt;180,0,6))/4*IF(OR($AB$9=0,$AB$9=1),1,$AB$9),0)</f>
        <v>339</v>
      </c>
      <c r="CT141" s="3">
        <v>120</v>
      </c>
      <c r="CU141" s="63">
        <f>ROUNDDOWN(PI()*POWER(CV141/2/10,3)*(CV141/10-IF(CV141&lt;180,0,6))/4*IF(OR($AB$9=0,$AB$9=1),1,$AB$9),0)</f>
        <v>2035</v>
      </c>
      <c r="CV141" s="3">
        <v>120</v>
      </c>
    </row>
    <row r="142" spans="94:108" ht="15.95" customHeight="1" x14ac:dyDescent="0.15">
      <c r="CS142" s="156">
        <f>+CS141+0.001</f>
        <v>339.00099999999998</v>
      </c>
      <c r="CT142" s="3">
        <v>135</v>
      </c>
      <c r="CU142" s="3">
        <f>+CU141+0.001</f>
        <v>2035.001</v>
      </c>
      <c r="CV142" s="3">
        <v>135</v>
      </c>
    </row>
    <row r="143" spans="94:108" ht="15.95" customHeight="1" x14ac:dyDescent="0.15">
      <c r="CS143" s="63">
        <f>ROUNDDOWN(PI()*POWER(+CT143/2/10,2)*(+CT143/10-IF(CT143&lt;180,0,6))/4*IF(OR($AB$9=0,$AB$9=1),1,$AB$9),0)</f>
        <v>483</v>
      </c>
      <c r="CT143" s="3">
        <v>135</v>
      </c>
      <c r="CU143" s="63">
        <f>ROUNDDOWN(PI()*POWER(CV143/2/10,3)*(CV143/10-IF(CV143&lt;180,0,6))/4*IF(OR($AB$9=0,$AB$9=1),1,$AB$9),0)</f>
        <v>3260</v>
      </c>
      <c r="CV143" s="3">
        <v>135</v>
      </c>
    </row>
    <row r="144" spans="94:108" ht="15.95" customHeight="1" x14ac:dyDescent="0.15">
      <c r="CS144" s="156">
        <f>+CS143+0.001</f>
        <v>483.00099999999998</v>
      </c>
      <c r="CT144" s="3">
        <v>150</v>
      </c>
      <c r="CU144" s="3">
        <f>+CU143+0.001</f>
        <v>3260.0010000000002</v>
      </c>
      <c r="CV144" s="3">
        <v>150</v>
      </c>
    </row>
    <row r="145" spans="6:109" ht="15.95" customHeight="1" x14ac:dyDescent="0.15">
      <c r="CS145" s="63">
        <f>ROUNDDOWN(PI()*POWER(+CT145/2/10,2)*(+CT145/10-IF(CT145&lt;180,0,6))/4*IF(OR($AB$9=0,$AB$9=1),1,$AB$9),0)</f>
        <v>662</v>
      </c>
      <c r="CT145" s="3">
        <v>150</v>
      </c>
      <c r="CU145" s="63">
        <f>ROUNDDOWN(PI()*POWER(CV145/2/10,3)*(CV145/10-IF(CV145&lt;180,0,6))/4*IF(OR($AB$9=0,$AB$9=1),1,$AB$9),0)</f>
        <v>4970</v>
      </c>
      <c r="CV145" s="3">
        <v>150</v>
      </c>
    </row>
    <row r="146" spans="6:109" ht="15.95" customHeight="1" x14ac:dyDescent="0.15">
      <c r="CS146" s="156">
        <f>+CS145+0.001</f>
        <v>662.00099999999998</v>
      </c>
      <c r="CT146" s="3">
        <v>180</v>
      </c>
      <c r="CU146" s="3">
        <f>+CU145+0.001</f>
        <v>4970.0010000000002</v>
      </c>
      <c r="CV146" s="3">
        <v>180</v>
      </c>
      <c r="DE146" s="23"/>
    </row>
    <row r="147" spans="6:109" ht="15.95" customHeight="1" x14ac:dyDescent="0.15">
      <c r="F147" s="9"/>
      <c r="G147" s="9"/>
      <c r="H147" s="9"/>
      <c r="I147" s="9"/>
      <c r="J147" s="9"/>
      <c r="K147" s="9"/>
      <c r="L147" s="9"/>
      <c r="M147" s="9"/>
      <c r="N147" s="9"/>
      <c r="O147" s="9"/>
      <c r="P147" s="9"/>
      <c r="CS147" s="63">
        <f>ROUNDDOWN(PI()*POWER(+CT147/2/10,2)*(+CT147/10-IF(CT147&lt;180,0,6))/4*IF(OR($AB$9=0,$AB$9=1),1,$AB$9),0)</f>
        <v>763</v>
      </c>
      <c r="CT147" s="3">
        <v>180</v>
      </c>
      <c r="CU147" s="63">
        <f>ROUNDDOWN(PI()*POWER(CV147/2/10,3)*(CV147/10-IF(CV147&lt;180,0,6))/4*IF(OR($AB$9=0,$AB$9=1),1,$AB$9),0)</f>
        <v>6870</v>
      </c>
      <c r="CV147" s="3">
        <v>180</v>
      </c>
      <c r="DE147" s="23"/>
    </row>
    <row r="148" spans="6:109" ht="15.95" customHeight="1" x14ac:dyDescent="0.15">
      <c r="F148" s="9"/>
      <c r="G148" s="9"/>
      <c r="H148" s="9"/>
      <c r="I148" s="9"/>
      <c r="J148" s="9"/>
      <c r="K148" s="9"/>
      <c r="L148" s="9"/>
      <c r="M148" s="9"/>
      <c r="N148" s="9"/>
      <c r="O148" s="9"/>
      <c r="P148" s="9"/>
      <c r="CS148" s="156">
        <f>+CS147+0.001</f>
        <v>763.00099999999998</v>
      </c>
      <c r="CT148" s="3">
        <v>210</v>
      </c>
      <c r="CU148" s="3">
        <f>+CU147+0.001</f>
        <v>6870.0010000000002</v>
      </c>
      <c r="CV148" s="3">
        <v>210</v>
      </c>
    </row>
    <row r="149" spans="6:109" ht="15.95" customHeight="1" x14ac:dyDescent="0.15">
      <c r="F149" s="9"/>
      <c r="G149" s="9"/>
      <c r="H149" s="9"/>
      <c r="I149" s="9"/>
      <c r="J149" s="9"/>
      <c r="K149" s="9"/>
      <c r="L149" s="9"/>
      <c r="M149" s="9"/>
      <c r="N149" s="9"/>
      <c r="O149" s="9"/>
      <c r="P149" s="9"/>
      <c r="CS149" s="63">
        <f>ROUNDDOWN(PI()*POWER(+CT149/2/10,2)*(+CT149/10-IF(CT149&lt;180,0,6))/4*IF(OR($AB$9=0,$AB$9=1),1,$AB$9),0)</f>
        <v>1298</v>
      </c>
      <c r="CT149" s="3">
        <v>210</v>
      </c>
      <c r="CU149" s="63">
        <f>ROUNDDOWN(PI()*POWER(CV149/2/10,3)*(CV149/10-IF(CV149&lt;180,0,6))/4*IF(OR($AB$9=0,$AB$9=1),1,$AB$9),0)</f>
        <v>13637</v>
      </c>
      <c r="CV149" s="3">
        <v>210</v>
      </c>
    </row>
    <row r="150" spans="6:109" ht="15.95" customHeight="1" x14ac:dyDescent="0.15">
      <c r="F150" s="9"/>
      <c r="G150" s="9"/>
      <c r="H150" s="9"/>
      <c r="I150" s="576"/>
      <c r="J150" s="1299"/>
      <c r="K150" s="1299"/>
      <c r="L150" s="9"/>
      <c r="M150" s="9"/>
      <c r="N150" s="9"/>
      <c r="O150" s="9"/>
      <c r="P150" s="9"/>
      <c r="CS150" s="156">
        <f>+CS149+0.001</f>
        <v>1298.001</v>
      </c>
      <c r="CT150" s="3">
        <v>240</v>
      </c>
      <c r="CU150" s="3">
        <f>+CU149+0.001</f>
        <v>13637.001</v>
      </c>
      <c r="CV150" s="3">
        <v>240</v>
      </c>
    </row>
    <row r="151" spans="6:109" ht="15.95" customHeight="1" x14ac:dyDescent="0.15">
      <c r="F151" s="9"/>
      <c r="G151" s="9"/>
      <c r="H151" s="9"/>
      <c r="I151" s="576"/>
      <c r="J151" s="9"/>
      <c r="K151" s="9"/>
      <c r="L151" s="9"/>
      <c r="M151" s="9"/>
      <c r="N151" s="9"/>
      <c r="O151" s="9"/>
      <c r="P151" s="9"/>
      <c r="CS151" s="63">
        <f>ROUNDDOWN(PI()*POWER(+CT151/2/10,2)*(+CT151/10-IF(CT151&lt;180,0,6))/4*IF(OR($AB$9=0,$AB$9=1),1,$AB$9),0)</f>
        <v>2035</v>
      </c>
      <c r="CT151" s="3">
        <f>+CT149+30</f>
        <v>240</v>
      </c>
      <c r="CU151" s="63">
        <f>ROUNDDOWN(PI()*POWER(CV151/2/10,3)*(CV151/10-IF(CV151&lt;180,0,6))/4*IF(OR($AB$9=0,$AB$9=1),1,$AB$9),0)</f>
        <v>24429</v>
      </c>
      <c r="CV151" s="3">
        <f>+CV149+30</f>
        <v>240</v>
      </c>
    </row>
    <row r="152" spans="6:109" ht="15.95" customHeight="1" x14ac:dyDescent="0.15">
      <c r="F152" s="9"/>
      <c r="G152" s="9"/>
      <c r="H152" s="9"/>
      <c r="I152" s="576"/>
      <c r="J152" s="9"/>
      <c r="K152" s="9"/>
      <c r="L152" s="9"/>
      <c r="M152" s="9"/>
      <c r="N152" s="9"/>
      <c r="O152" s="9"/>
      <c r="P152" s="9"/>
      <c r="CP152" s="63" t="e">
        <f>ROUNDDOWN(PI()*POWER(CV152/2/10,3)*(CV152/10-IF(CV152&lt;180,0,6))/4*IF(OR(#REF!=0,#REF!=1),1,#REF!),0)</f>
        <v>#REF!</v>
      </c>
      <c r="CS152" s="156">
        <f>+CS151+0.001</f>
        <v>2035.001</v>
      </c>
      <c r="CT152" s="3">
        <v>270</v>
      </c>
      <c r="CU152" s="3">
        <f>+CU151+0.001</f>
        <v>24429.001</v>
      </c>
      <c r="CV152" s="3">
        <v>270</v>
      </c>
    </row>
    <row r="153" spans="6:109" ht="15.95" customHeight="1" x14ac:dyDescent="0.15">
      <c r="F153" s="9"/>
      <c r="G153" s="9"/>
      <c r="H153" s="9"/>
      <c r="I153" s="9"/>
      <c r="J153" s="9"/>
      <c r="K153" s="9"/>
      <c r="L153" s="9"/>
      <c r="M153" s="9"/>
      <c r="N153" s="9"/>
      <c r="O153" s="9"/>
      <c r="P153" s="9"/>
      <c r="CS153" s="63">
        <f>ROUNDDOWN(PI()*POWER(+CT153/2/10,2)*(+CT153/10-IF(CT153&lt;180,0,6))/4*IF(OR($AB$9=0,$AB$9=1),1,$AB$9),0)</f>
        <v>3005</v>
      </c>
      <c r="CT153" s="3">
        <f>+CT151+30</f>
        <v>270</v>
      </c>
      <c r="CU153" s="63">
        <f>ROUNDDOWN(PI()*POWER(CV153/2/10,3)*(CV153/10-IF(CV153&lt;180,0,6))/4*IF(OR($AB$9=0,$AB$9=1),1,$AB$9),0)</f>
        <v>40579</v>
      </c>
      <c r="CV153" s="3">
        <f>+CV151+30</f>
        <v>270</v>
      </c>
    </row>
    <row r="154" spans="6:109" ht="15.95" customHeight="1" x14ac:dyDescent="0.15">
      <c r="F154" s="9"/>
      <c r="G154" s="9"/>
      <c r="H154" s="9"/>
      <c r="I154" s="9"/>
      <c r="J154" s="9"/>
      <c r="K154" s="9"/>
      <c r="L154" s="9"/>
      <c r="M154" s="9"/>
      <c r="N154" s="9"/>
      <c r="O154" s="9"/>
      <c r="P154" s="9"/>
      <c r="CP154" s="63" t="e">
        <f>ROUNDDOWN(PI()*POWER(CV154/2/10,3)*(CV154/10-IF(CV154&lt;180,0,6))/4*IF(OR(#REF!=0,#REF!=1),1,#REF!),0)</f>
        <v>#REF!</v>
      </c>
      <c r="CS154" s="156">
        <f>+CS153+0.001</f>
        <v>3005.0010000000002</v>
      </c>
      <c r="CT154" s="3">
        <v>300</v>
      </c>
      <c r="CU154" s="3">
        <f>+CU153+0.001</f>
        <v>40579.000999999997</v>
      </c>
      <c r="CV154" s="3">
        <v>300</v>
      </c>
    </row>
    <row r="155" spans="6:109" ht="15.95" customHeight="1" x14ac:dyDescent="0.15">
      <c r="F155" s="9"/>
      <c r="G155" s="9"/>
      <c r="H155" s="9"/>
      <c r="I155" s="9"/>
      <c r="J155" s="9"/>
      <c r="K155" s="9"/>
      <c r="L155" s="9"/>
      <c r="M155" s="9"/>
      <c r="N155" s="9"/>
      <c r="O155" s="9"/>
      <c r="P155" s="9"/>
      <c r="CS155" s="63">
        <f>ROUNDDOWN(PI()*POWER(+CT155/2/10,2)*(+CT155/10-IF(CT155&lt;180,0,6))/4*IF(OR($AB$9=0,$AB$9=1),1,$AB$9),0)</f>
        <v>4241</v>
      </c>
      <c r="CT155" s="3">
        <f>+CT153+30</f>
        <v>300</v>
      </c>
      <c r="CU155" s="63">
        <f>ROUNDDOWN(PI()*POWER(CV155/2/10,3)*(CV155/10-IF(CV155&lt;180,0,6))/4*IF(OR($AB$9=0,$AB$9=1),1,$AB$9),0)</f>
        <v>63617</v>
      </c>
      <c r="CV155" s="3">
        <f>+CV153+30</f>
        <v>300</v>
      </c>
    </row>
    <row r="156" spans="6:109" ht="15.95" customHeight="1" x14ac:dyDescent="0.15">
      <c r="F156" s="9"/>
      <c r="G156" s="9"/>
      <c r="H156" s="398"/>
      <c r="I156" s="9"/>
      <c r="J156" s="9"/>
      <c r="K156" s="9"/>
      <c r="L156" s="9"/>
      <c r="M156" s="9"/>
      <c r="N156" s="9"/>
      <c r="O156" s="9"/>
      <c r="P156" s="9"/>
      <c r="CS156" s="156">
        <f>+CS155+0.001</f>
        <v>4241.0010000000002</v>
      </c>
      <c r="CT156" s="3">
        <v>330</v>
      </c>
      <c r="CU156" s="3">
        <f>+CU155+0.001</f>
        <v>63617.000999999997</v>
      </c>
      <c r="CV156" s="3">
        <v>330</v>
      </c>
    </row>
    <row r="157" spans="6:109" ht="15.95" customHeight="1" x14ac:dyDescent="0.15">
      <c r="F157" s="9"/>
      <c r="G157" s="9"/>
      <c r="H157" s="398"/>
      <c r="I157" s="9"/>
      <c r="J157" s="9"/>
      <c r="K157" s="9"/>
      <c r="L157" s="9"/>
      <c r="M157" s="9"/>
      <c r="N157" s="9"/>
      <c r="O157" s="9"/>
      <c r="P157" s="9"/>
      <c r="CS157" s="63">
        <f>ROUNDDOWN(PI()*POWER(+CT157/2/10,2)*(+CT157/10-IF(CT157&lt;180,0,6))/4*IF(OR($AB$9=0,$AB$9=1),1,$AB$9),0)</f>
        <v>5773</v>
      </c>
      <c r="CT157" s="3">
        <f>+CT155+30</f>
        <v>330</v>
      </c>
      <c r="CU157" s="63">
        <f>ROUNDDOWN(PI()*POWER(CV157/2/10,3)*(CV157/10-IF(CV157&lt;180,0,6))/4*IF(OR($AB$9=0,$AB$9=1),1,$AB$9),0)</f>
        <v>95258</v>
      </c>
      <c r="CV157" s="3">
        <f>+CV155+30</f>
        <v>330</v>
      </c>
    </row>
    <row r="158" spans="6:109" ht="15.95" customHeight="1" x14ac:dyDescent="0.15">
      <c r="F158" s="9"/>
      <c r="G158" s="9"/>
      <c r="H158" s="398"/>
      <c r="I158" s="9"/>
      <c r="J158" s="9"/>
      <c r="K158" s="9"/>
      <c r="L158" s="9"/>
      <c r="M158" s="9"/>
      <c r="N158" s="9"/>
      <c r="O158" s="9"/>
      <c r="P158" s="9"/>
      <c r="CS158" s="156">
        <f>+CS157+0.001</f>
        <v>5773.0010000000002</v>
      </c>
      <c r="CT158" s="3">
        <f>+CT159</f>
        <v>360</v>
      </c>
      <c r="CU158" s="3">
        <f>+CU157+0.001</f>
        <v>95258.001000000004</v>
      </c>
      <c r="CV158" s="3">
        <f>+CV159</f>
        <v>360</v>
      </c>
    </row>
    <row r="159" spans="6:109" ht="15.95" customHeight="1" x14ac:dyDescent="0.15">
      <c r="F159" s="9"/>
      <c r="G159" s="9"/>
      <c r="H159" s="398"/>
      <c r="I159" s="9"/>
      <c r="J159" s="9"/>
      <c r="K159" s="9"/>
      <c r="L159" s="9"/>
      <c r="M159" s="9"/>
      <c r="N159" s="9"/>
      <c r="O159" s="9"/>
      <c r="P159" s="9"/>
      <c r="CS159" s="63">
        <f>ROUNDDOWN(PI()*POWER(+CT159/2/10,2)*(+CT159/10-IF(CT159&lt;180,0,6))/4*IF(OR($AB$9=0,$AB$9=1),1,$AB$9),0)</f>
        <v>7634</v>
      </c>
      <c r="CT159" s="3">
        <f>+CT157+30</f>
        <v>360</v>
      </c>
      <c r="CU159" s="63">
        <f>ROUNDDOWN(PI()*POWER(CV159/2/10,3)*(CV159/10-IF(CV159&lt;180,0,6))/4*IF(OR($AB$9=0,$AB$9=1),1,$AB$9),0)</f>
        <v>137413</v>
      </c>
      <c r="CV159" s="3">
        <f>+CV157+30</f>
        <v>360</v>
      </c>
    </row>
    <row r="160" spans="6:109" ht="15.95" customHeight="1" x14ac:dyDescent="0.15">
      <c r="F160" s="9"/>
      <c r="G160" s="9"/>
      <c r="H160" s="9"/>
      <c r="I160" s="9"/>
      <c r="J160" s="9"/>
      <c r="K160" s="9"/>
      <c r="L160" s="9"/>
      <c r="M160" s="9"/>
      <c r="N160" s="9"/>
      <c r="O160" s="9"/>
      <c r="P160" s="9"/>
      <c r="CS160" s="156">
        <f>+CS159+0.001</f>
        <v>7634.0010000000002</v>
      </c>
      <c r="CT160" s="3">
        <f>+CT161</f>
        <v>390</v>
      </c>
      <c r="CU160" s="3">
        <f>+CU159+0.001</f>
        <v>137413.00099999999</v>
      </c>
      <c r="CV160" s="3">
        <f>+CV161</f>
        <v>390</v>
      </c>
    </row>
    <row r="161" spans="6:100" ht="15.95" customHeight="1" x14ac:dyDescent="0.15">
      <c r="F161" s="9"/>
      <c r="G161" s="9"/>
      <c r="H161" s="9"/>
      <c r="I161" s="9"/>
      <c r="J161" s="9"/>
      <c r="K161" s="9"/>
      <c r="L161" s="9"/>
      <c r="M161" s="9"/>
      <c r="N161" s="9"/>
      <c r="O161" s="9"/>
      <c r="P161" s="9"/>
      <c r="CS161" s="63">
        <f>ROUNDDOWN(PI()*POWER(+CT161/2/10,2)*(+CT161/10-IF(CT161&lt;180,0,6))/4*IF(OR($AB$9=0,$AB$9=1),1,$AB$9),0)</f>
        <v>9855</v>
      </c>
      <c r="CT161" s="3">
        <f>+CT159+30</f>
        <v>390</v>
      </c>
      <c r="CU161" s="63">
        <f>ROUNDDOWN(PI()*POWER(CV161/2/10,3)*(CV161/10-IF(CV161&lt;180,0,6))/4*IF(OR($AB$9=0,$AB$9=1),1,$AB$9),0)</f>
        <v>192179</v>
      </c>
      <c r="CV161" s="3">
        <f>+CV159+30</f>
        <v>390</v>
      </c>
    </row>
    <row r="162" spans="6:100" ht="15.95" customHeight="1" x14ac:dyDescent="0.15">
      <c r="F162" s="9"/>
      <c r="G162" s="9"/>
      <c r="H162" s="407"/>
      <c r="I162" s="9"/>
      <c r="J162" s="9"/>
      <c r="K162" s="9"/>
      <c r="L162" s="9"/>
      <c r="M162" s="9"/>
      <c r="N162" s="9"/>
      <c r="O162" s="9"/>
      <c r="P162" s="9"/>
      <c r="CS162" s="156">
        <f>+CS161+0.001</f>
        <v>9855.0010000000002</v>
      </c>
      <c r="CT162" s="3">
        <f>+CT163</f>
        <v>420</v>
      </c>
      <c r="CU162" s="3">
        <f>+CU161+0.001</f>
        <v>192179.00099999999</v>
      </c>
      <c r="CV162" s="3">
        <f>+CV163</f>
        <v>420</v>
      </c>
    </row>
    <row r="163" spans="6:100" ht="15.95" customHeight="1" x14ac:dyDescent="0.15">
      <c r="F163" s="9"/>
      <c r="G163" s="9"/>
      <c r="H163" s="9"/>
      <c r="I163" s="9"/>
      <c r="J163" s="9"/>
      <c r="K163" s="9"/>
      <c r="L163" s="9"/>
      <c r="M163" s="9"/>
      <c r="N163" s="9"/>
      <c r="O163" s="9"/>
      <c r="P163" s="9"/>
      <c r="CS163" s="63">
        <f>ROUNDDOWN(PI()*POWER(+CT163/2/10,2)*(+CT163/10-IF(CT163&lt;180,0,6))/4*IF(OR($AB$9=0,$AB$9=1),1,$AB$9),0)</f>
        <v>12468</v>
      </c>
      <c r="CT163" s="3">
        <f>+CT161+30</f>
        <v>420</v>
      </c>
      <c r="CU163" s="63">
        <f>ROUNDDOWN(PI()*POWER(CV163/2/10,3)*(CV163/10-IF(CV163&lt;180,0,6))/4*IF(OR($AB$9=0,$AB$9=1),1,$AB$9),0)</f>
        <v>261848</v>
      </c>
      <c r="CV163" s="3">
        <f>+CV161+30</f>
        <v>420</v>
      </c>
    </row>
    <row r="164" spans="6:100" ht="15.95" customHeight="1" x14ac:dyDescent="0.15">
      <c r="F164" s="9"/>
      <c r="G164" s="9"/>
      <c r="H164" s="9"/>
      <c r="I164" s="9"/>
      <c r="J164" s="9"/>
      <c r="K164" s="9"/>
      <c r="L164" s="9"/>
      <c r="M164" s="9"/>
      <c r="N164" s="9"/>
      <c r="O164" s="9"/>
      <c r="P164" s="9"/>
      <c r="CS164" s="156">
        <f>+CS163+0.001</f>
        <v>12468.001</v>
      </c>
      <c r="CT164" s="3">
        <f>+CT165</f>
        <v>450</v>
      </c>
      <c r="CU164" s="3">
        <f>+CU163+0.001</f>
        <v>261848.00099999999</v>
      </c>
      <c r="CV164" s="3">
        <f>+CV165</f>
        <v>450</v>
      </c>
    </row>
    <row r="165" spans="6:100" ht="15.95" customHeight="1" x14ac:dyDescent="0.15">
      <c r="F165" s="9"/>
      <c r="G165" s="9"/>
      <c r="H165" s="398"/>
      <c r="I165" s="9"/>
      <c r="J165" s="9"/>
      <c r="K165" s="9"/>
      <c r="L165" s="9"/>
      <c r="M165" s="9"/>
      <c r="N165" s="9"/>
      <c r="O165" s="9"/>
      <c r="P165" s="9"/>
      <c r="CS165" s="63">
        <f>ROUNDDOWN(PI()*POWER(+CT165/2/10,2)*(+CT165/10-IF(CT165&lt;180,0,6))/4*IF(OR($AB$9=0,$AB$9=1),1,$AB$9),0)</f>
        <v>15506</v>
      </c>
      <c r="CT165" s="3">
        <f>+CT163+30</f>
        <v>450</v>
      </c>
      <c r="CU165" s="63">
        <f>ROUNDDOWN(PI()*POWER(CV165/2/10,3)*(CV165/10-IF(CV165&lt;180,0,6))/4*IF(OR($AB$9=0,$AB$9=1),1,$AB$9),0)</f>
        <v>348900</v>
      </c>
      <c r="CV165" s="3">
        <f>+CV163+30</f>
        <v>450</v>
      </c>
    </row>
    <row r="166" spans="6:100" ht="15.95" customHeight="1" x14ac:dyDescent="0.15">
      <c r="F166" s="9"/>
      <c r="G166" s="9"/>
      <c r="H166" s="576"/>
      <c r="I166" s="9"/>
      <c r="J166" s="9"/>
      <c r="K166" s="9"/>
      <c r="L166" s="9"/>
      <c r="M166" s="9"/>
      <c r="N166" s="9"/>
      <c r="O166" s="9"/>
      <c r="P166" s="9"/>
      <c r="CS166" s="156">
        <f>+CS165+0.001</f>
        <v>15506.001</v>
      </c>
      <c r="CT166" s="3">
        <f>+CT167</f>
        <v>480</v>
      </c>
      <c r="CU166" s="3">
        <f>+CU165+0.001</f>
        <v>348900.00099999999</v>
      </c>
      <c r="CV166" s="3">
        <f>+CV167</f>
        <v>480</v>
      </c>
    </row>
    <row r="167" spans="6:100" ht="15.95" customHeight="1" x14ac:dyDescent="0.15">
      <c r="F167" s="9"/>
      <c r="G167" s="9"/>
      <c r="H167" s="576"/>
      <c r="I167" s="9"/>
      <c r="J167" s="9"/>
      <c r="K167" s="9"/>
      <c r="L167" s="9"/>
      <c r="M167" s="9"/>
      <c r="N167" s="9"/>
      <c r="O167" s="9"/>
      <c r="P167" s="9"/>
      <c r="CS167" s="63">
        <f>ROUNDDOWN(PI()*POWER(+CT167/2/10,2)*(+CT167/10-IF(CT167&lt;180,0,6))/4*IF(OR($AB$9=0,$AB$9=1),1,$AB$9),0)</f>
        <v>19000</v>
      </c>
      <c r="CT167" s="3">
        <f>+CT165+30</f>
        <v>480</v>
      </c>
      <c r="CU167" s="63">
        <f>ROUNDDOWN(PI()*POWER(CV167/2/10,3)*(CV167/10-IF(CV167&lt;180,0,6))/4*IF(OR($AB$9=0,$AB$9=1),1,$AB$9),0)</f>
        <v>456008</v>
      </c>
      <c r="CV167" s="3">
        <f>+CV165+30</f>
        <v>480</v>
      </c>
    </row>
    <row r="168" spans="6:100" ht="15.95" customHeight="1" x14ac:dyDescent="0.15">
      <c r="F168" s="9"/>
      <c r="G168" s="9"/>
      <c r="H168" s="9"/>
      <c r="I168" s="9"/>
      <c r="J168" s="9"/>
      <c r="K168" s="9"/>
      <c r="L168" s="9"/>
      <c r="M168" s="9"/>
      <c r="N168" s="9"/>
      <c r="O168" s="9"/>
      <c r="P168" s="9"/>
      <c r="CS168" s="156">
        <f>+CS167+0.001</f>
        <v>19000.001</v>
      </c>
      <c r="CT168" s="3">
        <f>+CT169</f>
        <v>510</v>
      </c>
      <c r="CU168" s="3">
        <f>+CU167+0.001</f>
        <v>456008.00099999999</v>
      </c>
      <c r="CV168" s="3">
        <f>+CV169</f>
        <v>510</v>
      </c>
    </row>
    <row r="169" spans="6:100" ht="15.95" customHeight="1" x14ac:dyDescent="0.15">
      <c r="F169" s="9"/>
      <c r="G169" s="9"/>
      <c r="H169" s="9"/>
      <c r="I169" s="9"/>
      <c r="J169" s="9"/>
      <c r="K169" s="9"/>
      <c r="L169" s="9"/>
      <c r="M169" s="9"/>
      <c r="N169" s="9"/>
      <c r="O169" s="9"/>
      <c r="P169" s="9"/>
      <c r="CS169" s="63">
        <f>ROUNDDOWN(PI()*POWER(+CT169/2/10,2)*(+CT169/10-IF(CT169&lt;180,0,6))/4*IF(OR($AB$9=0,$AB$9=1),1,$AB$9),0)</f>
        <v>22981</v>
      </c>
      <c r="CT169" s="3">
        <f>+CT167+30</f>
        <v>510</v>
      </c>
      <c r="CU169" s="63">
        <f>ROUNDDOWN(PI()*POWER(CV169/2/10,3)*(CV169/10-IF(CV169&lt;180,0,6))/4*IF(OR($AB$9=0,$AB$9=1),1,$AB$9),0)</f>
        <v>586034</v>
      </c>
      <c r="CV169" s="3">
        <f>+CV167+30</f>
        <v>510</v>
      </c>
    </row>
    <row r="170" spans="6:100" ht="15.95" customHeight="1" x14ac:dyDescent="0.15">
      <c r="F170" s="9"/>
      <c r="G170" s="9"/>
      <c r="H170" s="9"/>
      <c r="I170" s="9"/>
      <c r="J170" s="9"/>
      <c r="K170" s="9"/>
      <c r="L170" s="9"/>
      <c r="M170" s="9"/>
      <c r="N170" s="9"/>
      <c r="O170" s="9"/>
      <c r="P170" s="9"/>
      <c r="CS170" s="156">
        <f>+CS169+0.001</f>
        <v>22981.001</v>
      </c>
      <c r="CT170" s="3">
        <f>+CT171</f>
        <v>540</v>
      </c>
      <c r="CU170" s="3">
        <f>+CU169+0.001</f>
        <v>586034.00100000005</v>
      </c>
      <c r="CV170" s="3">
        <f>+CV171</f>
        <v>540</v>
      </c>
    </row>
    <row r="171" spans="6:100" ht="15.95" customHeight="1" x14ac:dyDescent="0.15">
      <c r="F171" s="9"/>
      <c r="G171" s="9"/>
      <c r="H171" s="9"/>
      <c r="I171" s="9"/>
      <c r="J171" s="9"/>
      <c r="K171" s="9"/>
      <c r="L171" s="9"/>
      <c r="M171" s="9"/>
      <c r="N171" s="9"/>
      <c r="O171" s="9"/>
      <c r="P171" s="9"/>
      <c r="CS171" s="63">
        <f>ROUNDDOWN(PI()*POWER(+CT171/2/10,2)*(+CT171/10-IF(CT171&lt;180,0,6))/4*IF(OR($AB$9=0,$AB$9=1),1,$AB$9),0)</f>
        <v>27482</v>
      </c>
      <c r="CT171" s="3">
        <f>+CT169+30</f>
        <v>540</v>
      </c>
      <c r="CU171" s="63">
        <f>ROUNDDOWN(PI()*POWER(CV171/2/10,3)*(CV171/10-IF(CV171&lt;180,0,6))/4*IF(OR($AB$9=0,$AB$9=1),1,$AB$9),0)</f>
        <v>742031</v>
      </c>
      <c r="CV171" s="3">
        <f>+CV169+30</f>
        <v>540</v>
      </c>
    </row>
    <row r="172" spans="6:100" ht="15.95" hidden="1" customHeight="1" x14ac:dyDescent="0.15">
      <c r="F172" s="194"/>
      <c r="G172" s="194"/>
      <c r="H172" s="194" t="s">
        <v>1134</v>
      </c>
      <c r="I172" s="544">
        <v>1</v>
      </c>
      <c r="J172" s="544">
        <v>1</v>
      </c>
      <c r="K172" s="544">
        <v>1</v>
      </c>
      <c r="L172" s="544">
        <v>1</v>
      </c>
      <c r="M172" s="544">
        <v>1</v>
      </c>
      <c r="N172" s="544">
        <v>1</v>
      </c>
      <c r="O172" s="544">
        <v>1</v>
      </c>
      <c r="P172" s="544">
        <v>1</v>
      </c>
      <c r="Q172" s="544">
        <v>1</v>
      </c>
      <c r="R172" s="544">
        <v>1</v>
      </c>
      <c r="S172" s="544">
        <v>1</v>
      </c>
      <c r="T172" s="544">
        <v>1</v>
      </c>
      <c r="U172" s="544">
        <v>1</v>
      </c>
      <c r="V172" s="544">
        <v>1</v>
      </c>
      <c r="W172" s="544">
        <v>1</v>
      </c>
      <c r="X172" s="544">
        <v>1</v>
      </c>
      <c r="Y172" s="544">
        <v>1</v>
      </c>
      <c r="Z172" s="544">
        <v>1</v>
      </c>
      <c r="AA172" s="544">
        <v>1</v>
      </c>
      <c r="AB172" s="544">
        <v>1</v>
      </c>
      <c r="AC172" s="544">
        <v>1</v>
      </c>
      <c r="AD172" s="544">
        <v>1</v>
      </c>
      <c r="AE172" s="544">
        <v>1</v>
      </c>
      <c r="AF172" s="544">
        <v>1</v>
      </c>
      <c r="AG172" s="544">
        <v>1</v>
      </c>
      <c r="AH172" s="544">
        <v>1</v>
      </c>
      <c r="CS172" s="156">
        <f>+CS171+0.001</f>
        <v>27482.001</v>
      </c>
      <c r="CT172" s="3">
        <f>+CT173</f>
        <v>570</v>
      </c>
      <c r="CU172" s="3">
        <f>+CU171+0.001</f>
        <v>742031.00100000005</v>
      </c>
      <c r="CV172" s="3">
        <f>+CV173</f>
        <v>570</v>
      </c>
    </row>
    <row r="173" spans="6:100" ht="15.95" hidden="1" customHeight="1" x14ac:dyDescent="0.15">
      <c r="F173" s="194"/>
      <c r="G173" s="194"/>
      <c r="H173" s="194" t="s">
        <v>1133</v>
      </c>
      <c r="I173" s="547">
        <f t="shared" ref="I173:AC173" si="292">IF(I217=0,0,+VLOOKUP(I217,$G$212:$J$216,3))</f>
        <v>0</v>
      </c>
      <c r="J173" s="547">
        <f t="shared" si="292"/>
        <v>0</v>
      </c>
      <c r="K173" s="547">
        <f t="shared" si="292"/>
        <v>0</v>
      </c>
      <c r="L173" s="547">
        <f t="shared" si="292"/>
        <v>0</v>
      </c>
      <c r="M173" s="547">
        <f t="shared" si="292"/>
        <v>0</v>
      </c>
      <c r="N173" s="547">
        <f t="shared" si="292"/>
        <v>0</v>
      </c>
      <c r="O173" s="547">
        <f t="shared" si="292"/>
        <v>0</v>
      </c>
      <c r="P173" s="547">
        <f t="shared" si="292"/>
        <v>0</v>
      </c>
      <c r="Q173" s="547">
        <f t="shared" si="292"/>
        <v>0</v>
      </c>
      <c r="R173" s="547">
        <f t="shared" si="292"/>
        <v>0</v>
      </c>
      <c r="S173" s="547">
        <f t="shared" si="292"/>
        <v>0</v>
      </c>
      <c r="T173" s="547">
        <f t="shared" si="292"/>
        <v>0</v>
      </c>
      <c r="U173" s="547">
        <f t="shared" si="292"/>
        <v>0</v>
      </c>
      <c r="V173" s="547">
        <f t="shared" si="292"/>
        <v>0</v>
      </c>
      <c r="W173" s="547">
        <f t="shared" si="292"/>
        <v>0</v>
      </c>
      <c r="X173" s="547">
        <f t="shared" si="292"/>
        <v>0</v>
      </c>
      <c r="Y173" s="547">
        <f t="shared" si="292"/>
        <v>0</v>
      </c>
      <c r="Z173" s="547">
        <f t="shared" si="292"/>
        <v>0</v>
      </c>
      <c r="AA173" s="547">
        <f t="shared" si="292"/>
        <v>0</v>
      </c>
      <c r="AB173" s="547">
        <f t="shared" si="292"/>
        <v>0</v>
      </c>
      <c r="AC173" s="547">
        <f t="shared" si="292"/>
        <v>0</v>
      </c>
      <c r="AD173" s="547">
        <f t="shared" ref="AD173:AH173" si="293">IF(AD217=0,0,+VLOOKUP(AD217,$G$212:$J$216,3))</f>
        <v>0</v>
      </c>
      <c r="AE173" s="547">
        <f t="shared" si="293"/>
        <v>0</v>
      </c>
      <c r="AF173" s="547">
        <f t="shared" si="293"/>
        <v>0</v>
      </c>
      <c r="AG173" s="547">
        <f t="shared" si="293"/>
        <v>0</v>
      </c>
      <c r="AH173" s="547">
        <f t="shared" si="293"/>
        <v>0</v>
      </c>
      <c r="CS173" s="63">
        <f>ROUNDDOWN(PI()*POWER(+CT173/2/10,2)*(+CT173/10-IF(CT173&lt;180,0,6))/4*IF(OR($AB$9=0,$AB$9=1),1,$AB$9),0)</f>
        <v>32534</v>
      </c>
      <c r="CT173" s="3">
        <f>+CT171+30</f>
        <v>570</v>
      </c>
      <c r="CU173" s="63">
        <f>ROUNDDOWN(PI()*POWER(CV173/2/10,3)*(CV173/10-IF(CV173&lt;180,0,6))/4*IF(OR($AB$9=0,$AB$9=1),1,$AB$9),0)</f>
        <v>927245</v>
      </c>
      <c r="CV173" s="3">
        <f>+CV171+30</f>
        <v>570</v>
      </c>
    </row>
    <row r="174" spans="6:100" ht="15.95" hidden="1" customHeight="1" x14ac:dyDescent="0.15">
      <c r="F174" s="194"/>
      <c r="G174" s="194"/>
      <c r="H174" s="440" t="s">
        <v>1136</v>
      </c>
      <c r="I174" s="547">
        <f t="shared" ref="I174:AC174" si="294">IF(I217=0,0,+VLOOKUP(I217,$G$212:$J$216,2))</f>
        <v>0</v>
      </c>
      <c r="J174" s="547">
        <f t="shared" si="294"/>
        <v>0</v>
      </c>
      <c r="K174" s="547">
        <f t="shared" si="294"/>
        <v>0</v>
      </c>
      <c r="L174" s="547">
        <f t="shared" si="294"/>
        <v>0</v>
      </c>
      <c r="M174" s="547">
        <f t="shared" si="294"/>
        <v>0</v>
      </c>
      <c r="N174" s="547">
        <f t="shared" si="294"/>
        <v>0</v>
      </c>
      <c r="O174" s="547">
        <f t="shared" si="294"/>
        <v>0</v>
      </c>
      <c r="P174" s="547">
        <f t="shared" si="294"/>
        <v>0</v>
      </c>
      <c r="Q174" s="547">
        <f t="shared" si="294"/>
        <v>0</v>
      </c>
      <c r="R174" s="547">
        <f t="shared" si="294"/>
        <v>0</v>
      </c>
      <c r="S174" s="547">
        <f t="shared" si="294"/>
        <v>0</v>
      </c>
      <c r="T174" s="547">
        <f t="shared" si="294"/>
        <v>0</v>
      </c>
      <c r="U174" s="547">
        <f t="shared" si="294"/>
        <v>0</v>
      </c>
      <c r="V174" s="547">
        <f t="shared" si="294"/>
        <v>0</v>
      </c>
      <c r="W174" s="547">
        <f t="shared" si="294"/>
        <v>0</v>
      </c>
      <c r="X174" s="547">
        <f t="shared" si="294"/>
        <v>0</v>
      </c>
      <c r="Y174" s="547">
        <f t="shared" si="294"/>
        <v>0</v>
      </c>
      <c r="Z174" s="547">
        <f t="shared" si="294"/>
        <v>0</v>
      </c>
      <c r="AA174" s="547">
        <f t="shared" si="294"/>
        <v>0</v>
      </c>
      <c r="AB174" s="547">
        <f t="shared" si="294"/>
        <v>0</v>
      </c>
      <c r="AC174" s="547">
        <f t="shared" si="294"/>
        <v>0</v>
      </c>
      <c r="AD174" s="547">
        <f t="shared" ref="AD174:AH174" si="295">IF(AD217=0,0,+VLOOKUP(AD217,$G$212:$J$216,2))</f>
        <v>0</v>
      </c>
      <c r="AE174" s="547">
        <f t="shared" si="295"/>
        <v>0</v>
      </c>
      <c r="AF174" s="547">
        <f t="shared" si="295"/>
        <v>0</v>
      </c>
      <c r="AG174" s="547">
        <f t="shared" si="295"/>
        <v>0</v>
      </c>
      <c r="AH174" s="547">
        <f t="shared" si="295"/>
        <v>0</v>
      </c>
      <c r="CS174" s="156">
        <f>+CS173+0.001</f>
        <v>32534.001</v>
      </c>
      <c r="CT174" s="3">
        <f>+CT175</f>
        <v>600</v>
      </c>
      <c r="CU174" s="3">
        <f>+CU173+0.001</f>
        <v>927245.00100000005</v>
      </c>
      <c r="CV174" s="3">
        <f>+CV175</f>
        <v>600</v>
      </c>
    </row>
    <row r="175" spans="6:100" ht="15.95" hidden="1" customHeight="1" x14ac:dyDescent="0.15">
      <c r="F175" s="194"/>
      <c r="G175" s="194"/>
      <c r="H175" s="440" t="s">
        <v>1137</v>
      </c>
      <c r="I175" s="547">
        <f t="shared" ref="I175:AC175" si="296">IF(I217=0,0,+VLOOKUP(I217,$G$212:$J$216,4))</f>
        <v>0</v>
      </c>
      <c r="J175" s="547">
        <f t="shared" si="296"/>
        <v>0</v>
      </c>
      <c r="K175" s="547">
        <f t="shared" si="296"/>
        <v>0</v>
      </c>
      <c r="L175" s="547">
        <f t="shared" si="296"/>
        <v>0</v>
      </c>
      <c r="M175" s="547">
        <f t="shared" si="296"/>
        <v>0</v>
      </c>
      <c r="N175" s="547">
        <f t="shared" si="296"/>
        <v>0</v>
      </c>
      <c r="O175" s="547">
        <f t="shared" si="296"/>
        <v>0</v>
      </c>
      <c r="P175" s="547">
        <f t="shared" si="296"/>
        <v>0</v>
      </c>
      <c r="Q175" s="547">
        <f t="shared" si="296"/>
        <v>0</v>
      </c>
      <c r="R175" s="547">
        <f t="shared" si="296"/>
        <v>0</v>
      </c>
      <c r="S175" s="547">
        <f t="shared" si="296"/>
        <v>0</v>
      </c>
      <c r="T175" s="547">
        <f t="shared" si="296"/>
        <v>0</v>
      </c>
      <c r="U175" s="547">
        <f t="shared" si="296"/>
        <v>0</v>
      </c>
      <c r="V175" s="547">
        <f t="shared" si="296"/>
        <v>0</v>
      </c>
      <c r="W175" s="547">
        <f t="shared" si="296"/>
        <v>0</v>
      </c>
      <c r="X175" s="547">
        <f t="shared" si="296"/>
        <v>0</v>
      </c>
      <c r="Y175" s="547">
        <f t="shared" si="296"/>
        <v>0</v>
      </c>
      <c r="Z175" s="547">
        <f t="shared" si="296"/>
        <v>0</v>
      </c>
      <c r="AA175" s="547">
        <f t="shared" si="296"/>
        <v>0</v>
      </c>
      <c r="AB175" s="547">
        <f t="shared" si="296"/>
        <v>0</v>
      </c>
      <c r="AC175" s="547">
        <f t="shared" si="296"/>
        <v>0</v>
      </c>
      <c r="AD175" s="547">
        <f t="shared" ref="AD175:AH175" si="297">IF(AD217=0,0,+VLOOKUP(AD217,$G$212:$J$216,4))</f>
        <v>0</v>
      </c>
      <c r="AE175" s="547">
        <f t="shared" si="297"/>
        <v>0</v>
      </c>
      <c r="AF175" s="547">
        <f t="shared" si="297"/>
        <v>0</v>
      </c>
      <c r="AG175" s="547">
        <f t="shared" si="297"/>
        <v>0</v>
      </c>
      <c r="AH175" s="547">
        <f t="shared" si="297"/>
        <v>0</v>
      </c>
      <c r="CS175" s="63">
        <f>ROUNDDOWN(PI()*POWER(+CT175/2/10,2)*(+CT175/10-IF(CT175&lt;180,0,6))/4*IF(OR($AB$9=0,$AB$9=1),1,$AB$9),0)</f>
        <v>38170</v>
      </c>
      <c r="CT175" s="3">
        <f>+CT173+30</f>
        <v>600</v>
      </c>
      <c r="CU175" s="63">
        <f>ROUNDDOWN(PI()*POWER(CV175/2/10,3)*(CV175/10-IF(CV175&lt;180,0,6))/4*IF(OR($AB$9=0,$AB$9=1),1,$AB$9),0)</f>
        <v>1145110</v>
      </c>
      <c r="CV175" s="3">
        <f>+CV173+30</f>
        <v>600</v>
      </c>
    </row>
    <row r="176" spans="6:100" ht="15.95" hidden="1" customHeight="1" x14ac:dyDescent="0.15">
      <c r="F176" s="194"/>
      <c r="G176" s="194"/>
      <c r="H176" s="194"/>
      <c r="I176" s="545">
        <f>+$J8</f>
        <v>0</v>
      </c>
      <c r="J176" s="545">
        <f>+$J10</f>
        <v>0</v>
      </c>
      <c r="K176" s="545">
        <f>+$J12</f>
        <v>0</v>
      </c>
      <c r="L176" s="545">
        <f>+$J14</f>
        <v>0</v>
      </c>
      <c r="M176" s="545">
        <f>+$J16</f>
        <v>0</v>
      </c>
      <c r="N176" s="545">
        <f>+$J18</f>
        <v>0</v>
      </c>
      <c r="O176" s="545">
        <f>+$J20</f>
        <v>0</v>
      </c>
      <c r="P176" s="545">
        <f>+$J22</f>
        <v>0</v>
      </c>
      <c r="Q176" s="545">
        <f>+$J24</f>
        <v>0</v>
      </c>
      <c r="R176" s="545">
        <f>+$J26</f>
        <v>0</v>
      </c>
      <c r="S176" s="545">
        <f>+$J28</f>
        <v>0</v>
      </c>
      <c r="T176" s="545">
        <f>+$J30</f>
        <v>0</v>
      </c>
      <c r="U176" s="545">
        <f>+$J32</f>
        <v>0</v>
      </c>
      <c r="V176" s="545">
        <f>+$J34</f>
        <v>0</v>
      </c>
      <c r="W176" s="545">
        <f>+$J36</f>
        <v>0</v>
      </c>
      <c r="X176" s="545">
        <f>+$J38</f>
        <v>0</v>
      </c>
      <c r="Y176" s="545">
        <f>+$J40</f>
        <v>0</v>
      </c>
      <c r="Z176" s="545">
        <f>+$J43</f>
        <v>0</v>
      </c>
      <c r="AA176" s="545">
        <f>+$J46</f>
        <v>0</v>
      </c>
      <c r="AB176" s="545">
        <f>+$J49</f>
        <v>0</v>
      </c>
      <c r="AC176" s="545">
        <f>+$J52</f>
        <v>0</v>
      </c>
      <c r="AD176" s="545">
        <f t="shared" ref="AD176:AH176" si="298">+$J52</f>
        <v>0</v>
      </c>
      <c r="AE176" s="545">
        <f t="shared" si="298"/>
        <v>0</v>
      </c>
      <c r="AF176" s="545">
        <f t="shared" si="298"/>
        <v>0</v>
      </c>
      <c r="AG176" s="545">
        <f t="shared" si="298"/>
        <v>0</v>
      </c>
      <c r="AH176" s="545">
        <f t="shared" si="298"/>
        <v>0</v>
      </c>
      <c r="CS176" s="156">
        <f>+CS175+0.001</f>
        <v>38170.000999999997</v>
      </c>
      <c r="CT176" s="3">
        <f>+CT177</f>
        <v>630</v>
      </c>
      <c r="CU176" s="3">
        <f>+CU175+0.001</f>
        <v>1145110.0009999999</v>
      </c>
      <c r="CV176" s="3">
        <f>+CV177</f>
        <v>630</v>
      </c>
    </row>
    <row r="177" spans="6:100" ht="15.95" hidden="1" customHeight="1" x14ac:dyDescent="0.15">
      <c r="F177" s="194"/>
      <c r="G177" s="539" t="s">
        <v>1107</v>
      </c>
      <c r="H177" s="457"/>
      <c r="I177" s="440" t="s">
        <v>1138</v>
      </c>
      <c r="J177" s="440" t="s">
        <v>1139</v>
      </c>
      <c r="K177" s="440" t="s">
        <v>1140</v>
      </c>
      <c r="L177" s="440" t="s">
        <v>1141</v>
      </c>
      <c r="M177" s="440" t="s">
        <v>1142</v>
      </c>
      <c r="N177" s="440" t="s">
        <v>1143</v>
      </c>
      <c r="O177" s="440" t="s">
        <v>1158</v>
      </c>
      <c r="P177" s="440" t="s">
        <v>1159</v>
      </c>
      <c r="Q177" s="440" t="s">
        <v>1160</v>
      </c>
      <c r="R177" s="440" t="s">
        <v>1161</v>
      </c>
      <c r="S177" s="440" t="s">
        <v>1162</v>
      </c>
      <c r="T177" s="440" t="s">
        <v>1163</v>
      </c>
      <c r="U177" s="440" t="s">
        <v>1164</v>
      </c>
      <c r="V177" s="440" t="s">
        <v>1165</v>
      </c>
      <c r="W177" s="440" t="s">
        <v>1166</v>
      </c>
      <c r="X177" s="440" t="s">
        <v>1167</v>
      </c>
      <c r="Y177" s="440" t="s">
        <v>1168</v>
      </c>
      <c r="Z177" s="440" t="s">
        <v>1169</v>
      </c>
      <c r="AA177" s="440" t="s">
        <v>1170</v>
      </c>
      <c r="AB177" s="440" t="s">
        <v>1171</v>
      </c>
      <c r="AC177" s="440" t="s">
        <v>1172</v>
      </c>
      <c r="AD177" s="1018" t="s">
        <v>1508</v>
      </c>
      <c r="AE177" s="1018" t="s">
        <v>1509</v>
      </c>
      <c r="AF177" s="1018" t="s">
        <v>1510</v>
      </c>
      <c r="AG177" s="1018" t="s">
        <v>1511</v>
      </c>
      <c r="AH177" s="1018" t="s">
        <v>1512</v>
      </c>
      <c r="CS177" s="63">
        <f>ROUNDDOWN(PI()*POWER(+CT177/2/10,2)*(+CT177/10-IF(CT177&lt;180,0,6))/4*IF(OR($AB$9=0,$AB$9=1),1,$AB$9),0)</f>
        <v>44420</v>
      </c>
      <c r="CT177" s="3">
        <f>+CT175+30</f>
        <v>630</v>
      </c>
      <c r="CU177" s="63">
        <f>ROUNDDOWN(PI()*POWER(CV177/2/10,3)*(CV177/10-IF(CV177&lt;180,0,6))/4*IF(OR($AB$9=0,$AB$9=1),1,$AB$9),0)</f>
        <v>1399253</v>
      </c>
      <c r="CV177" s="3">
        <f>+CV175+30</f>
        <v>630</v>
      </c>
    </row>
    <row r="178" spans="6:100" ht="15.95" hidden="1" customHeight="1" x14ac:dyDescent="0.15">
      <c r="F178" s="194"/>
      <c r="G178" s="540" t="s">
        <v>1108</v>
      </c>
      <c r="H178" s="541"/>
      <c r="I178" s="540">
        <f>+$Q8*10</f>
        <v>0</v>
      </c>
      <c r="J178" s="540">
        <f>+Q10*10</f>
        <v>0</v>
      </c>
      <c r="K178" s="540">
        <f>+$Q12*10</f>
        <v>0</v>
      </c>
      <c r="L178" s="540">
        <f>+$Q14*10</f>
        <v>0</v>
      </c>
      <c r="M178" s="540">
        <f>+$Q16*10</f>
        <v>0</v>
      </c>
      <c r="N178" s="540">
        <f>+$Q18*10</f>
        <v>0</v>
      </c>
      <c r="O178" s="540">
        <f>+$Q20*10</f>
        <v>0</v>
      </c>
      <c r="P178" s="540">
        <f>+$Q22*10</f>
        <v>0</v>
      </c>
      <c r="Q178" s="540">
        <f>+$Q24*10</f>
        <v>0</v>
      </c>
      <c r="R178" s="540">
        <f>+$Q26*10</f>
        <v>0</v>
      </c>
      <c r="S178" s="540">
        <f>+$Q28*10</f>
        <v>0</v>
      </c>
      <c r="T178" s="540">
        <f>+$Q30*10</f>
        <v>0</v>
      </c>
      <c r="U178" s="540">
        <f>+$Q32*10</f>
        <v>0</v>
      </c>
      <c r="V178" s="540">
        <f>+$Q34*10</f>
        <v>0</v>
      </c>
      <c r="W178" s="540">
        <f>+$Q36*10</f>
        <v>0</v>
      </c>
      <c r="X178" s="540">
        <f>+$Q38*10</f>
        <v>0</v>
      </c>
      <c r="Y178" s="540">
        <f>+$Q40*10</f>
        <v>0</v>
      </c>
      <c r="Z178" s="540">
        <f>+$Q43*10</f>
        <v>0</v>
      </c>
      <c r="AA178" s="540">
        <f>+$Q46*10</f>
        <v>0</v>
      </c>
      <c r="AB178" s="545">
        <f>+$Q49*10</f>
        <v>0</v>
      </c>
      <c r="AC178" s="545">
        <f>+$Q52*10</f>
        <v>0</v>
      </c>
      <c r="AD178" s="545">
        <f>+$Q55*10</f>
        <v>0</v>
      </c>
      <c r="AE178" s="545">
        <f>+$Q58*10</f>
        <v>0</v>
      </c>
      <c r="AF178" s="545">
        <f>+$Q61*10</f>
        <v>0</v>
      </c>
      <c r="AG178" s="545">
        <f>+$Q64*10</f>
        <v>0</v>
      </c>
      <c r="AH178" s="545">
        <f>+$Q67*10</f>
        <v>0</v>
      </c>
      <c r="CS178" s="156">
        <f>+CS177+0.001</f>
        <v>44420.000999999997</v>
      </c>
      <c r="CT178" s="3">
        <v>0</v>
      </c>
      <c r="CU178" s="3">
        <f>+CU177+0.001</f>
        <v>1399253.0009999999</v>
      </c>
      <c r="CV178" s="3">
        <v>0</v>
      </c>
    </row>
    <row r="179" spans="6:100" ht="15.95" hidden="1" customHeight="1" x14ac:dyDescent="0.15">
      <c r="F179" s="194"/>
      <c r="G179" s="539" t="s">
        <v>1144</v>
      </c>
      <c r="H179" s="542" t="s">
        <v>1145</v>
      </c>
      <c r="I179" s="539">
        <f>+$R8*10</f>
        <v>0</v>
      </c>
      <c r="J179" s="539">
        <f>+R10*10</f>
        <v>0</v>
      </c>
      <c r="K179" s="539">
        <f>+$R12*10</f>
        <v>0</v>
      </c>
      <c r="L179" s="539">
        <f>+$R14*10</f>
        <v>0</v>
      </c>
      <c r="M179" s="539">
        <f>+$R16*10</f>
        <v>0</v>
      </c>
      <c r="N179" s="539">
        <f>+$R18*10</f>
        <v>0</v>
      </c>
      <c r="O179" s="539">
        <f>+$R20*10</f>
        <v>0</v>
      </c>
      <c r="P179" s="539">
        <f>+$R22*10</f>
        <v>0</v>
      </c>
      <c r="Q179" s="539">
        <f>+$R24*10</f>
        <v>0</v>
      </c>
      <c r="R179" s="539">
        <f>+$R26*10</f>
        <v>0</v>
      </c>
      <c r="S179" s="539">
        <f>+$R28*10</f>
        <v>0</v>
      </c>
      <c r="T179" s="539">
        <f>+$R30*10</f>
        <v>0</v>
      </c>
      <c r="U179" s="539">
        <f>+$R32*10</f>
        <v>0</v>
      </c>
      <c r="V179" s="539">
        <f>+$R34*10</f>
        <v>0</v>
      </c>
      <c r="W179" s="539">
        <f>+$R36*10</f>
        <v>0</v>
      </c>
      <c r="X179" s="539">
        <f>+$R38*10</f>
        <v>0</v>
      </c>
      <c r="Y179" s="539">
        <f>+$R40*10</f>
        <v>0</v>
      </c>
      <c r="Z179" s="539">
        <f>+$R43*10</f>
        <v>0</v>
      </c>
      <c r="AA179" s="539">
        <f>+$R46*10</f>
        <v>0</v>
      </c>
      <c r="AB179" s="545">
        <f>+$R49*10</f>
        <v>0</v>
      </c>
      <c r="AC179" s="545">
        <f>+$R52*10</f>
        <v>0</v>
      </c>
      <c r="AD179" s="545">
        <f>+$R55*10</f>
        <v>0</v>
      </c>
      <c r="AE179" s="545">
        <f>+$R58*10</f>
        <v>0</v>
      </c>
      <c r="AF179" s="545">
        <f>+$R61*10</f>
        <v>0</v>
      </c>
      <c r="AG179" s="545">
        <f>+$R64*10</f>
        <v>0</v>
      </c>
      <c r="AH179" s="545">
        <f>+$R67*10</f>
        <v>0</v>
      </c>
    </row>
    <row r="180" spans="6:100" ht="15.95" hidden="1" customHeight="1" x14ac:dyDescent="0.15">
      <c r="F180" s="194"/>
      <c r="G180" s="539" t="s">
        <v>1146</v>
      </c>
      <c r="H180" s="542" t="s">
        <v>1145</v>
      </c>
      <c r="I180" s="539">
        <f>+$S8*10</f>
        <v>0</v>
      </c>
      <c r="J180" s="539">
        <f>+S10*10</f>
        <v>0</v>
      </c>
      <c r="K180" s="539">
        <f>+$S12*10</f>
        <v>0</v>
      </c>
      <c r="L180" s="539">
        <f>+$S14*10</f>
        <v>0</v>
      </c>
      <c r="M180" s="539">
        <f>+$S16*10</f>
        <v>0</v>
      </c>
      <c r="N180" s="539">
        <f>+$S18*10</f>
        <v>0</v>
      </c>
      <c r="O180" s="539">
        <f>+$S20*10</f>
        <v>0</v>
      </c>
      <c r="P180" s="539">
        <f>+$S22*10</f>
        <v>0</v>
      </c>
      <c r="Q180" s="539">
        <f>+$S24*10</f>
        <v>0</v>
      </c>
      <c r="R180" s="539">
        <f>+$S26*10</f>
        <v>0</v>
      </c>
      <c r="S180" s="539">
        <f>+$S28*10</f>
        <v>0</v>
      </c>
      <c r="T180" s="539">
        <f>+$S30*10</f>
        <v>0</v>
      </c>
      <c r="U180" s="539">
        <f>+$S32*10</f>
        <v>0</v>
      </c>
      <c r="V180" s="539">
        <f>+$S34*10</f>
        <v>0</v>
      </c>
      <c r="W180" s="539">
        <f>+$S36*10</f>
        <v>0</v>
      </c>
      <c r="X180" s="539">
        <f>+$S38*10</f>
        <v>0</v>
      </c>
      <c r="Y180" s="539">
        <f>+$S40*10</f>
        <v>0</v>
      </c>
      <c r="Z180" s="539">
        <f>+$S43*10</f>
        <v>0</v>
      </c>
      <c r="AA180" s="539">
        <f>+$S46*10</f>
        <v>0</v>
      </c>
      <c r="AB180" s="545">
        <f>+$S49*10</f>
        <v>0</v>
      </c>
      <c r="AC180" s="545">
        <f>+$S52*10</f>
        <v>0</v>
      </c>
      <c r="AD180" s="545">
        <f>+$S55*10</f>
        <v>0</v>
      </c>
      <c r="AE180" s="545">
        <f>+$S58*10</f>
        <v>0</v>
      </c>
      <c r="AF180" s="545">
        <f>+$S61*10</f>
        <v>0</v>
      </c>
      <c r="AG180" s="545">
        <f>+$S64*10</f>
        <v>0</v>
      </c>
      <c r="AH180" s="545">
        <f>+$S67*10</f>
        <v>0</v>
      </c>
      <c r="CS180" s="63" t="e">
        <f>ROUNDDOWN(PI()*POWER(CT180/2/10,2)*(CT180/10-IF(CT180&lt;180,0,6))/4*IF(OR(#REF!=0,#REF!=1),1,#REF!),0)</f>
        <v>#REF!</v>
      </c>
      <c r="CT180" s="3">
        <v>60</v>
      </c>
      <c r="CU180" s="63" t="e">
        <f>ROUNDDOWN(PI()*POWER(CV180/2/10,3)*(CV180/10-IF(CV180&lt;180,0,6))/4*IF(OR(#REF!=0,#REF!=1),1,#REF!),0)</f>
        <v>#REF!</v>
      </c>
      <c r="CV180" s="3">
        <v>60</v>
      </c>
    </row>
    <row r="181" spans="6:100" ht="15.95" hidden="1" customHeight="1" x14ac:dyDescent="0.15">
      <c r="F181" s="194"/>
      <c r="G181" s="539" t="s">
        <v>1147</v>
      </c>
      <c r="H181" s="542" t="s">
        <v>1145</v>
      </c>
      <c r="I181" s="539">
        <f>+$T8*10</f>
        <v>0</v>
      </c>
      <c r="J181" s="539">
        <f>+T10*10</f>
        <v>0</v>
      </c>
      <c r="K181" s="539">
        <f>+$T12*10</f>
        <v>0</v>
      </c>
      <c r="L181" s="539">
        <f>+$T14*10</f>
        <v>0</v>
      </c>
      <c r="M181" s="539">
        <f>+$T16*10</f>
        <v>0</v>
      </c>
      <c r="N181" s="539">
        <f>+$T18*10</f>
        <v>0</v>
      </c>
      <c r="O181" s="539">
        <f>+$T20*10</f>
        <v>0</v>
      </c>
      <c r="P181" s="539">
        <f>+$T22*10</f>
        <v>0</v>
      </c>
      <c r="Q181" s="539">
        <f>+$T24*10</f>
        <v>0</v>
      </c>
      <c r="R181" s="539">
        <f>+$T26*10</f>
        <v>0</v>
      </c>
      <c r="S181" s="539">
        <f>+$T28*10</f>
        <v>0</v>
      </c>
      <c r="T181" s="539">
        <f>+$T30*10</f>
        <v>0</v>
      </c>
      <c r="U181" s="539">
        <f>+$T32*10</f>
        <v>0</v>
      </c>
      <c r="V181" s="539">
        <f>+$T34*10</f>
        <v>0</v>
      </c>
      <c r="W181" s="539">
        <f>+$T36*10</f>
        <v>0</v>
      </c>
      <c r="X181" s="539">
        <f>+$T38*10</f>
        <v>0</v>
      </c>
      <c r="Y181" s="539">
        <f>+$T40*10</f>
        <v>0</v>
      </c>
      <c r="Z181" s="539">
        <f>+$T43*10</f>
        <v>0</v>
      </c>
      <c r="AA181" s="539">
        <f>+$T46*10</f>
        <v>0</v>
      </c>
      <c r="AB181" s="545">
        <f>+$T49*10</f>
        <v>0</v>
      </c>
      <c r="AC181" s="545">
        <f>+$T52*10</f>
        <v>0</v>
      </c>
      <c r="AD181" s="545">
        <f>+$T55*10</f>
        <v>0</v>
      </c>
      <c r="AE181" s="545">
        <f>+$T58*10</f>
        <v>0</v>
      </c>
      <c r="AF181" s="545">
        <f>+$T61*10</f>
        <v>0</v>
      </c>
      <c r="AG181" s="545">
        <f>+$T64*10</f>
        <v>0</v>
      </c>
      <c r="AH181" s="545">
        <f>+$T67*10</f>
        <v>0</v>
      </c>
      <c r="CS181" s="3" t="e">
        <f>+CS180+0.001</f>
        <v>#REF!</v>
      </c>
      <c r="CT181" s="3">
        <v>75</v>
      </c>
      <c r="CU181" s="3" t="e">
        <f>+CU180+0.001</f>
        <v>#REF!</v>
      </c>
      <c r="CV181" s="3">
        <v>75</v>
      </c>
    </row>
    <row r="182" spans="6:100" ht="15.95" hidden="1" customHeight="1" x14ac:dyDescent="0.15">
      <c r="F182" s="194"/>
      <c r="G182" s="539" t="s">
        <v>1148</v>
      </c>
      <c r="H182" s="542" t="s">
        <v>1145</v>
      </c>
      <c r="I182" s="539">
        <f>+$U8*10</f>
        <v>0</v>
      </c>
      <c r="J182" s="539">
        <f>+$U10*10</f>
        <v>0</v>
      </c>
      <c r="K182" s="539">
        <f>+$U12*10</f>
        <v>0</v>
      </c>
      <c r="L182" s="539">
        <f>+$U14*10</f>
        <v>0</v>
      </c>
      <c r="M182" s="539">
        <f>+$U16*10</f>
        <v>0</v>
      </c>
      <c r="N182" s="539">
        <f>+$U18*10</f>
        <v>0</v>
      </c>
      <c r="O182" s="539">
        <f>+$U20*10</f>
        <v>0</v>
      </c>
      <c r="P182" s="539">
        <f>+$U22*10</f>
        <v>0</v>
      </c>
      <c r="Q182" s="539">
        <f>+$U24*10</f>
        <v>0</v>
      </c>
      <c r="R182" s="539">
        <f>+$U26*10</f>
        <v>0</v>
      </c>
      <c r="S182" s="539">
        <f>+$U28*10</f>
        <v>0</v>
      </c>
      <c r="T182" s="539">
        <f>+$U30*10</f>
        <v>0</v>
      </c>
      <c r="U182" s="539">
        <f>+$U32*10</f>
        <v>0</v>
      </c>
      <c r="V182" s="539">
        <f>+$U34*10</f>
        <v>0</v>
      </c>
      <c r="W182" s="539">
        <f>+$U36*10</f>
        <v>0</v>
      </c>
      <c r="X182" s="539">
        <f>+$U38*10</f>
        <v>0</v>
      </c>
      <c r="Y182" s="539">
        <f>+$U40*10</f>
        <v>0</v>
      </c>
      <c r="Z182" s="539">
        <f>+$U43*10</f>
        <v>0</v>
      </c>
      <c r="AA182" s="539">
        <f>+$U46*10</f>
        <v>0</v>
      </c>
      <c r="AB182" s="545">
        <f>+$U49*10</f>
        <v>0</v>
      </c>
      <c r="AC182" s="545">
        <f>+$U52*10</f>
        <v>0</v>
      </c>
      <c r="AD182" s="545">
        <f>+$U55*10</f>
        <v>0</v>
      </c>
      <c r="AE182" s="545">
        <f>+$U58*10</f>
        <v>0</v>
      </c>
      <c r="AF182" s="545">
        <f>+$U61*10</f>
        <v>0</v>
      </c>
      <c r="AG182" s="545">
        <f>+$U64*10</f>
        <v>0</v>
      </c>
      <c r="AH182" s="545">
        <f>+$U67*10</f>
        <v>0</v>
      </c>
      <c r="CS182" s="63" t="e">
        <f>ROUNDDOWN(PI()*POWER(CT182/2/10,2)*(CT182/10-IF(CT182&lt;180,0,6))/4*IF(OR(#REF!=0,#REF!=1),1,#REF!),0)</f>
        <v>#REF!</v>
      </c>
      <c r="CT182" s="3">
        <v>75</v>
      </c>
      <c r="CU182" s="63" t="e">
        <f>ROUNDDOWN(PI()*POWER(CV182/2/10,3)*(CV182/10-IF(CV182&lt;180,0,6))/4*IF(OR(#REF!=0,#REF!=1),1,#REF!),0)</f>
        <v>#REF!</v>
      </c>
      <c r="CV182" s="3">
        <v>75</v>
      </c>
    </row>
    <row r="183" spans="6:100" ht="15.95" hidden="1" customHeight="1" x14ac:dyDescent="0.15">
      <c r="F183" s="194"/>
      <c r="G183" s="539" t="s">
        <v>1149</v>
      </c>
      <c r="H183" s="542" t="s">
        <v>1145</v>
      </c>
      <c r="I183" s="539" t="str">
        <f t="shared" ref="I183:N183" si="299">IF(I181=0,+"",ROUND((I181-I182)/2,0))</f>
        <v/>
      </c>
      <c r="J183" s="539" t="str">
        <f t="shared" si="299"/>
        <v/>
      </c>
      <c r="K183" s="539" t="str">
        <f t="shared" si="299"/>
        <v/>
      </c>
      <c r="L183" s="539" t="str">
        <f t="shared" si="299"/>
        <v/>
      </c>
      <c r="M183" s="539" t="str">
        <f t="shared" si="299"/>
        <v/>
      </c>
      <c r="N183" s="539" t="str">
        <f t="shared" si="299"/>
        <v/>
      </c>
      <c r="O183" s="539" t="str">
        <f t="shared" ref="O183:AB183" si="300">IF(O181=0,+"",ROUND((O181-O182)/2,0))</f>
        <v/>
      </c>
      <c r="P183" s="539" t="str">
        <f t="shared" si="300"/>
        <v/>
      </c>
      <c r="Q183" s="539" t="str">
        <f t="shared" si="300"/>
        <v/>
      </c>
      <c r="R183" s="539" t="str">
        <f t="shared" si="300"/>
        <v/>
      </c>
      <c r="S183" s="539" t="str">
        <f t="shared" si="300"/>
        <v/>
      </c>
      <c r="T183" s="539" t="str">
        <f t="shared" si="300"/>
        <v/>
      </c>
      <c r="U183" s="539" t="str">
        <f t="shared" si="300"/>
        <v/>
      </c>
      <c r="V183" s="539" t="str">
        <f t="shared" si="300"/>
        <v/>
      </c>
      <c r="W183" s="539" t="str">
        <f t="shared" si="300"/>
        <v/>
      </c>
      <c r="X183" s="539" t="str">
        <f t="shared" si="300"/>
        <v/>
      </c>
      <c r="Y183" s="539" t="str">
        <f t="shared" si="300"/>
        <v/>
      </c>
      <c r="Z183" s="539" t="str">
        <f t="shared" si="300"/>
        <v/>
      </c>
      <c r="AA183" s="539" t="str">
        <f t="shared" si="300"/>
        <v/>
      </c>
      <c r="AB183" s="545" t="str">
        <f t="shared" si="300"/>
        <v/>
      </c>
      <c r="AC183" s="545" t="str">
        <f>IF(AC181=0,+"",ROUND((AC181-AC182)/2,0))</f>
        <v/>
      </c>
      <c r="AD183" s="545" t="str">
        <f t="shared" ref="AD183:AH183" si="301">IF(AD181=0,+"",ROUND((AD181-AD182)/2,0))</f>
        <v/>
      </c>
      <c r="AE183" s="545" t="str">
        <f t="shared" si="301"/>
        <v/>
      </c>
      <c r="AF183" s="545" t="str">
        <f t="shared" si="301"/>
        <v/>
      </c>
      <c r="AG183" s="545" t="str">
        <f t="shared" si="301"/>
        <v/>
      </c>
      <c r="AH183" s="545" t="str">
        <f t="shared" si="301"/>
        <v/>
      </c>
      <c r="CS183" s="3" t="e">
        <f>+CS182+0.001</f>
        <v>#REF!</v>
      </c>
      <c r="CT183" s="3">
        <v>90</v>
      </c>
      <c r="CU183" s="3" t="e">
        <f>+CU182+0.001</f>
        <v>#REF!</v>
      </c>
      <c r="CV183" s="3">
        <v>90</v>
      </c>
    </row>
    <row r="184" spans="6:100" ht="15.95" hidden="1" customHeight="1" x14ac:dyDescent="0.15">
      <c r="F184" s="194"/>
      <c r="G184" s="539"/>
      <c r="H184" s="542"/>
      <c r="I184" s="539" t="str">
        <f>IF(I179=0,+"",IF(ROUND((I183/I179)*180/PI(),2)&lt;=13,"OK!",ROUND((I183/I179)*180/PI(),2)))</f>
        <v/>
      </c>
      <c r="J184" s="539" t="str">
        <f t="shared" ref="J184:AH184" si="302">IF(J179=0,+"",IF(ROUND((J183/J179)*180/PI(),2)&lt;=13,"OK!",ROUND((J183/J179)*180/PI(),2)))</f>
        <v/>
      </c>
      <c r="K184" s="539" t="str">
        <f t="shared" si="302"/>
        <v/>
      </c>
      <c r="L184" s="539" t="str">
        <f t="shared" si="302"/>
        <v/>
      </c>
      <c r="M184" s="539" t="str">
        <f t="shared" si="302"/>
        <v/>
      </c>
      <c r="N184" s="539" t="str">
        <f t="shared" si="302"/>
        <v/>
      </c>
      <c r="O184" s="539" t="str">
        <f t="shared" si="302"/>
        <v/>
      </c>
      <c r="P184" s="539" t="str">
        <f t="shared" si="302"/>
        <v/>
      </c>
      <c r="Q184" s="539" t="str">
        <f t="shared" si="302"/>
        <v/>
      </c>
      <c r="R184" s="539" t="str">
        <f t="shared" si="302"/>
        <v/>
      </c>
      <c r="S184" s="539" t="str">
        <f t="shared" si="302"/>
        <v/>
      </c>
      <c r="T184" s="539" t="str">
        <f t="shared" si="302"/>
        <v/>
      </c>
      <c r="U184" s="539" t="str">
        <f t="shared" si="302"/>
        <v/>
      </c>
      <c r="V184" s="539" t="str">
        <f t="shared" si="302"/>
        <v/>
      </c>
      <c r="W184" s="539" t="str">
        <f t="shared" si="302"/>
        <v/>
      </c>
      <c r="X184" s="539" t="str">
        <f t="shared" si="302"/>
        <v/>
      </c>
      <c r="Y184" s="539" t="str">
        <f t="shared" si="302"/>
        <v/>
      </c>
      <c r="Z184" s="539" t="str">
        <f t="shared" si="302"/>
        <v/>
      </c>
      <c r="AA184" s="539" t="str">
        <f t="shared" si="302"/>
        <v/>
      </c>
      <c r="AB184" s="539" t="str">
        <f t="shared" si="302"/>
        <v/>
      </c>
      <c r="AC184" s="539" t="str">
        <f t="shared" si="302"/>
        <v/>
      </c>
      <c r="AD184" s="539" t="str">
        <f t="shared" si="302"/>
        <v/>
      </c>
      <c r="AE184" s="539" t="str">
        <f t="shared" si="302"/>
        <v/>
      </c>
      <c r="AF184" s="539" t="str">
        <f t="shared" si="302"/>
        <v/>
      </c>
      <c r="AG184" s="539" t="str">
        <f t="shared" si="302"/>
        <v/>
      </c>
      <c r="AH184" s="539" t="str">
        <f t="shared" si="302"/>
        <v/>
      </c>
    </row>
    <row r="185" spans="6:100" ht="15.95" hidden="1" customHeight="1" x14ac:dyDescent="0.15">
      <c r="F185" s="194"/>
      <c r="G185" s="539" t="s">
        <v>1135</v>
      </c>
      <c r="H185" s="542" t="s">
        <v>1109</v>
      </c>
      <c r="I185" s="539" t="str">
        <f t="shared" ref="I185:AH185" si="303">IF(I179=0,+"",IF(ROUND((I183/I179)*180/PI(),2)&gt;13,"NO!",ROUND((I183/I179)*180/PI(),2)))</f>
        <v/>
      </c>
      <c r="J185" s="539" t="str">
        <f t="shared" si="303"/>
        <v/>
      </c>
      <c r="K185" s="539" t="str">
        <f t="shared" si="303"/>
        <v/>
      </c>
      <c r="L185" s="539" t="str">
        <f t="shared" si="303"/>
        <v/>
      </c>
      <c r="M185" s="539" t="str">
        <f t="shared" si="303"/>
        <v/>
      </c>
      <c r="N185" s="539" t="str">
        <f t="shared" si="303"/>
        <v/>
      </c>
      <c r="O185" s="539" t="str">
        <f t="shared" si="303"/>
        <v/>
      </c>
      <c r="P185" s="539" t="str">
        <f t="shared" si="303"/>
        <v/>
      </c>
      <c r="Q185" s="539" t="str">
        <f t="shared" si="303"/>
        <v/>
      </c>
      <c r="R185" s="539" t="str">
        <f t="shared" si="303"/>
        <v/>
      </c>
      <c r="S185" s="539" t="str">
        <f t="shared" si="303"/>
        <v/>
      </c>
      <c r="T185" s="539" t="str">
        <f t="shared" si="303"/>
        <v/>
      </c>
      <c r="U185" s="539" t="str">
        <f t="shared" si="303"/>
        <v/>
      </c>
      <c r="V185" s="539" t="str">
        <f t="shared" si="303"/>
        <v/>
      </c>
      <c r="W185" s="539" t="str">
        <f t="shared" si="303"/>
        <v/>
      </c>
      <c r="X185" s="539" t="str">
        <f t="shared" si="303"/>
        <v/>
      </c>
      <c r="Y185" s="539" t="str">
        <f t="shared" si="303"/>
        <v/>
      </c>
      <c r="Z185" s="539" t="str">
        <f t="shared" si="303"/>
        <v/>
      </c>
      <c r="AA185" s="539" t="str">
        <f t="shared" si="303"/>
        <v/>
      </c>
      <c r="AB185" s="539" t="str">
        <f t="shared" si="303"/>
        <v/>
      </c>
      <c r="AC185" s="539" t="str">
        <f t="shared" si="303"/>
        <v/>
      </c>
      <c r="AD185" s="539" t="str">
        <f t="shared" si="303"/>
        <v/>
      </c>
      <c r="AE185" s="539" t="str">
        <f t="shared" si="303"/>
        <v/>
      </c>
      <c r="AF185" s="539" t="str">
        <f t="shared" si="303"/>
        <v/>
      </c>
      <c r="AG185" s="539" t="str">
        <f t="shared" si="303"/>
        <v/>
      </c>
      <c r="AH185" s="539" t="str">
        <f t="shared" si="303"/>
        <v/>
      </c>
      <c r="CS185" s="63" t="e">
        <f>ROUNDDOWN(PI()*POWER(CT185/2/10,2)*(CT185/10-IF(CT185&lt;180,0,6))/4*IF(OR(#REF!=0,#REF!=1),1,#REF!),0)</f>
        <v>#REF!</v>
      </c>
      <c r="CT185" s="3">
        <v>90</v>
      </c>
      <c r="CU185" s="63" t="e">
        <f>ROUNDDOWN(PI()*POWER(CV185/2/10,3)*(CV185/10-IF(CV185&lt;180,0,6))/4*IF(OR(#REF!=0,#REF!=1),1,#REF!),0)</f>
        <v>#REF!</v>
      </c>
      <c r="CV185" s="3">
        <v>90</v>
      </c>
    </row>
    <row r="186" spans="6:100" ht="15.95" hidden="1" customHeight="1" x14ac:dyDescent="0.15">
      <c r="F186" s="194"/>
      <c r="G186" s="539" t="s">
        <v>1110</v>
      </c>
      <c r="H186" s="542"/>
      <c r="I186" s="539" t="str">
        <f t="shared" ref="I186:N186" si="304">IF(I185=+"",+"",ROUND(SIN(I185*PI()/180),2))</f>
        <v/>
      </c>
      <c r="J186" s="539" t="str">
        <f t="shared" si="304"/>
        <v/>
      </c>
      <c r="K186" s="539" t="str">
        <f t="shared" si="304"/>
        <v/>
      </c>
      <c r="L186" s="539" t="str">
        <f t="shared" si="304"/>
        <v/>
      </c>
      <c r="M186" s="539" t="str">
        <f t="shared" si="304"/>
        <v/>
      </c>
      <c r="N186" s="539" t="str">
        <f t="shared" si="304"/>
        <v/>
      </c>
      <c r="O186" s="539" t="str">
        <f t="shared" ref="O186:AB186" si="305">IF(O185=+"",+"",ROUND(SIN(O185*PI()/180),2))</f>
        <v/>
      </c>
      <c r="P186" s="539" t="str">
        <f t="shared" si="305"/>
        <v/>
      </c>
      <c r="Q186" s="539" t="str">
        <f t="shared" si="305"/>
        <v/>
      </c>
      <c r="R186" s="539" t="str">
        <f t="shared" si="305"/>
        <v/>
      </c>
      <c r="S186" s="539" t="str">
        <f t="shared" si="305"/>
        <v/>
      </c>
      <c r="T186" s="539" t="str">
        <f t="shared" si="305"/>
        <v/>
      </c>
      <c r="U186" s="539" t="str">
        <f t="shared" si="305"/>
        <v/>
      </c>
      <c r="V186" s="539" t="str">
        <f t="shared" si="305"/>
        <v/>
      </c>
      <c r="W186" s="539" t="str">
        <f t="shared" si="305"/>
        <v/>
      </c>
      <c r="X186" s="539" t="str">
        <f t="shared" si="305"/>
        <v/>
      </c>
      <c r="Y186" s="539" t="str">
        <f t="shared" si="305"/>
        <v/>
      </c>
      <c r="Z186" s="539" t="str">
        <f t="shared" si="305"/>
        <v/>
      </c>
      <c r="AA186" s="539" t="str">
        <f t="shared" si="305"/>
        <v/>
      </c>
      <c r="AB186" s="545" t="str">
        <f t="shared" si="305"/>
        <v/>
      </c>
      <c r="AC186" s="545" t="str">
        <f>IF(AC185=+"",+"",ROUND(SIN(AC185*PI()/180),2))</f>
        <v/>
      </c>
      <c r="AD186" s="545" t="str">
        <f t="shared" ref="AD186:AH186" si="306">IF(AD185=+"",+"",ROUND(SIN(AD185*PI()/180),2))</f>
        <v/>
      </c>
      <c r="AE186" s="545" t="str">
        <f t="shared" si="306"/>
        <v/>
      </c>
      <c r="AF186" s="545" t="str">
        <f t="shared" si="306"/>
        <v/>
      </c>
      <c r="AG186" s="545" t="str">
        <f t="shared" si="306"/>
        <v/>
      </c>
      <c r="AH186" s="545" t="str">
        <f t="shared" si="306"/>
        <v/>
      </c>
      <c r="CS186" s="3" t="e">
        <f>+CS185+0.001</f>
        <v>#REF!</v>
      </c>
      <c r="CT186" s="3">
        <v>105</v>
      </c>
      <c r="CU186" s="3" t="e">
        <f>+CU185+0.001</f>
        <v>#REF!</v>
      </c>
      <c r="CV186" s="3">
        <v>105</v>
      </c>
    </row>
    <row r="187" spans="6:100" ht="15.95" hidden="1" customHeight="1" x14ac:dyDescent="0.15">
      <c r="F187" s="194"/>
      <c r="G187" s="539" t="s">
        <v>1111</v>
      </c>
      <c r="H187" s="542"/>
      <c r="I187" s="539" t="str">
        <f t="shared" ref="I187:N187" si="307">IF(I185=+"",+"",ROUND(COS(I185*PI()/180),2))</f>
        <v/>
      </c>
      <c r="J187" s="549" t="str">
        <f t="shared" si="307"/>
        <v/>
      </c>
      <c r="K187" s="549" t="str">
        <f t="shared" si="307"/>
        <v/>
      </c>
      <c r="L187" s="549" t="str">
        <f t="shared" si="307"/>
        <v/>
      </c>
      <c r="M187" s="549" t="str">
        <f t="shared" si="307"/>
        <v/>
      </c>
      <c r="N187" s="549" t="str">
        <f t="shared" si="307"/>
        <v/>
      </c>
      <c r="O187" s="549" t="str">
        <f t="shared" ref="O187:AB187" si="308">IF(O185=+"",+"",ROUND(COS(O185*PI()/180),2))</f>
        <v/>
      </c>
      <c r="P187" s="549" t="str">
        <f t="shared" si="308"/>
        <v/>
      </c>
      <c r="Q187" s="549" t="str">
        <f t="shared" si="308"/>
        <v/>
      </c>
      <c r="R187" s="549" t="str">
        <f t="shared" si="308"/>
        <v/>
      </c>
      <c r="S187" s="549" t="str">
        <f t="shared" si="308"/>
        <v/>
      </c>
      <c r="T187" s="549" t="str">
        <f t="shared" si="308"/>
        <v/>
      </c>
      <c r="U187" s="549" t="str">
        <f t="shared" si="308"/>
        <v/>
      </c>
      <c r="V187" s="549" t="str">
        <f t="shared" si="308"/>
        <v/>
      </c>
      <c r="W187" s="549" t="str">
        <f t="shared" si="308"/>
        <v/>
      </c>
      <c r="X187" s="549" t="str">
        <f t="shared" si="308"/>
        <v/>
      </c>
      <c r="Y187" s="549" t="str">
        <f t="shared" si="308"/>
        <v/>
      </c>
      <c r="Z187" s="549" t="str">
        <f t="shared" si="308"/>
        <v/>
      </c>
      <c r="AA187" s="549" t="str">
        <f t="shared" si="308"/>
        <v/>
      </c>
      <c r="AB187" s="546" t="str">
        <f t="shared" si="308"/>
        <v/>
      </c>
      <c r="AC187" s="546" t="str">
        <f>IF(AC185=+"",+"",ROUND(COS(AC185*PI()/180),2))</f>
        <v/>
      </c>
      <c r="AD187" s="546" t="str">
        <f t="shared" ref="AD187:AH187" si="309">IF(AD185=+"",+"",ROUND(COS(AD185*PI()/180),2))</f>
        <v/>
      </c>
      <c r="AE187" s="546" t="str">
        <f t="shared" si="309"/>
        <v/>
      </c>
      <c r="AF187" s="546" t="str">
        <f t="shared" si="309"/>
        <v/>
      </c>
      <c r="AG187" s="546" t="str">
        <f t="shared" si="309"/>
        <v/>
      </c>
      <c r="AH187" s="546" t="str">
        <f t="shared" si="309"/>
        <v/>
      </c>
      <c r="CS187" s="63" t="e">
        <f>ROUNDDOWN(PI()*POWER(CT187/2/10,2)*(CT187/10-IF(CT187&lt;180,0,6))/4*IF(OR(#REF!=0,#REF!=1),1,#REF!),0)</f>
        <v>#REF!</v>
      </c>
      <c r="CT187" s="3">
        <v>105</v>
      </c>
      <c r="CU187" s="63" t="e">
        <f>ROUNDDOWN(PI()*POWER(CV187/2/10,3)*(CV187/10-IF(CV187&lt;180,0,6))/4*IF(OR(#REF!=0,#REF!=1),1,#REF!),0)</f>
        <v>#REF!</v>
      </c>
      <c r="CV187" s="3">
        <v>105</v>
      </c>
    </row>
    <row r="188" spans="6:100" ht="15.95" hidden="1" customHeight="1" x14ac:dyDescent="0.15">
      <c r="F188" s="194"/>
      <c r="G188" s="539" t="s">
        <v>1112</v>
      </c>
      <c r="H188" s="542"/>
      <c r="I188" s="539" t="str">
        <f t="shared" ref="I188:N188" si="310">IF(I185=+"",+"",ROUND(TAN(I185*PI()/180),2))</f>
        <v/>
      </c>
      <c r="J188" s="539" t="str">
        <f t="shared" si="310"/>
        <v/>
      </c>
      <c r="K188" s="539" t="str">
        <f t="shared" si="310"/>
        <v/>
      </c>
      <c r="L188" s="539" t="str">
        <f t="shared" si="310"/>
        <v/>
      </c>
      <c r="M188" s="539" t="str">
        <f t="shared" si="310"/>
        <v/>
      </c>
      <c r="N188" s="539" t="str">
        <f t="shared" si="310"/>
        <v/>
      </c>
      <c r="O188" s="539" t="str">
        <f t="shared" ref="O188:AB188" si="311">IF(O185=+"",+"",ROUND(TAN(O185*PI()/180),2))</f>
        <v/>
      </c>
      <c r="P188" s="539" t="str">
        <f t="shared" si="311"/>
        <v/>
      </c>
      <c r="Q188" s="539" t="str">
        <f t="shared" si="311"/>
        <v/>
      </c>
      <c r="R188" s="539" t="str">
        <f t="shared" si="311"/>
        <v/>
      </c>
      <c r="S188" s="539" t="str">
        <f t="shared" si="311"/>
        <v/>
      </c>
      <c r="T188" s="539" t="str">
        <f t="shared" si="311"/>
        <v/>
      </c>
      <c r="U188" s="539" t="str">
        <f t="shared" si="311"/>
        <v/>
      </c>
      <c r="V188" s="539" t="str">
        <f t="shared" si="311"/>
        <v/>
      </c>
      <c r="W188" s="539" t="str">
        <f t="shared" si="311"/>
        <v/>
      </c>
      <c r="X188" s="539" t="str">
        <f t="shared" si="311"/>
        <v/>
      </c>
      <c r="Y188" s="539" t="str">
        <f t="shared" si="311"/>
        <v/>
      </c>
      <c r="Z188" s="539" t="str">
        <f t="shared" si="311"/>
        <v/>
      </c>
      <c r="AA188" s="539" t="str">
        <f t="shared" si="311"/>
        <v/>
      </c>
      <c r="AB188" s="545" t="str">
        <f t="shared" si="311"/>
        <v/>
      </c>
      <c r="AC188" s="545" t="str">
        <f>IF(AC185=+"",+"",ROUND(TAN(AC185*PI()/180),2))</f>
        <v/>
      </c>
      <c r="AD188" s="545" t="str">
        <f t="shared" ref="AD188:AH188" si="312">IF(AD185=+"",+"",ROUND(TAN(AD185*PI()/180),2))</f>
        <v/>
      </c>
      <c r="AE188" s="545" t="str">
        <f t="shared" si="312"/>
        <v/>
      </c>
      <c r="AF188" s="545" t="str">
        <f t="shared" si="312"/>
        <v/>
      </c>
      <c r="AG188" s="545" t="str">
        <f t="shared" si="312"/>
        <v/>
      </c>
      <c r="AH188" s="545" t="str">
        <f t="shared" si="312"/>
        <v/>
      </c>
      <c r="CS188" s="3" t="e">
        <f>+CS187+0.001</f>
        <v>#REF!</v>
      </c>
      <c r="CT188" s="3">
        <v>120</v>
      </c>
      <c r="CU188" s="3" t="e">
        <f>+CU187+0.001</f>
        <v>#REF!</v>
      </c>
      <c r="CV188" s="3">
        <v>120</v>
      </c>
    </row>
    <row r="189" spans="6:100" ht="15.95" hidden="1" customHeight="1" x14ac:dyDescent="0.15">
      <c r="F189" s="194"/>
      <c r="G189" s="539" t="s">
        <v>1113</v>
      </c>
      <c r="H189" s="542" t="s">
        <v>1114</v>
      </c>
      <c r="I189" s="539" t="str">
        <f t="shared" ref="I189:AC189" si="313">IF(I185=+"",+"",ROUND($I$174*$I$175/($I$174*I186*I186+$I$175*I187*I187),2))</f>
        <v/>
      </c>
      <c r="J189" s="539" t="str">
        <f t="shared" si="313"/>
        <v/>
      </c>
      <c r="K189" s="539" t="str">
        <f t="shared" si="313"/>
        <v/>
      </c>
      <c r="L189" s="539" t="str">
        <f t="shared" si="313"/>
        <v/>
      </c>
      <c r="M189" s="539" t="str">
        <f t="shared" si="313"/>
        <v/>
      </c>
      <c r="N189" s="539" t="str">
        <f t="shared" si="313"/>
        <v/>
      </c>
      <c r="O189" s="539" t="str">
        <f t="shared" si="313"/>
        <v/>
      </c>
      <c r="P189" s="539" t="str">
        <f t="shared" si="313"/>
        <v/>
      </c>
      <c r="Q189" s="539" t="str">
        <f t="shared" si="313"/>
        <v/>
      </c>
      <c r="R189" s="539" t="str">
        <f t="shared" si="313"/>
        <v/>
      </c>
      <c r="S189" s="539" t="str">
        <f t="shared" si="313"/>
        <v/>
      </c>
      <c r="T189" s="539" t="str">
        <f t="shared" si="313"/>
        <v/>
      </c>
      <c r="U189" s="539" t="str">
        <f t="shared" si="313"/>
        <v/>
      </c>
      <c r="V189" s="539" t="str">
        <f t="shared" si="313"/>
        <v/>
      </c>
      <c r="W189" s="539" t="str">
        <f t="shared" si="313"/>
        <v/>
      </c>
      <c r="X189" s="539" t="str">
        <f t="shared" si="313"/>
        <v/>
      </c>
      <c r="Y189" s="539" t="str">
        <f t="shared" si="313"/>
        <v/>
      </c>
      <c r="Z189" s="539" t="str">
        <f t="shared" si="313"/>
        <v/>
      </c>
      <c r="AA189" s="539" t="str">
        <f t="shared" si="313"/>
        <v/>
      </c>
      <c r="AB189" s="545" t="str">
        <f t="shared" si="313"/>
        <v/>
      </c>
      <c r="AC189" s="545" t="str">
        <f t="shared" si="313"/>
        <v/>
      </c>
      <c r="AD189" s="545" t="str">
        <f t="shared" ref="AD189:AH189" si="314">IF(AD185=+"",+"",ROUND($I$174*$I$175/($I$174*AD186*AD186+$I$175*AD187*AD187),2))</f>
        <v/>
      </c>
      <c r="AE189" s="545" t="str">
        <f t="shared" si="314"/>
        <v/>
      </c>
      <c r="AF189" s="545" t="str">
        <f t="shared" si="314"/>
        <v/>
      </c>
      <c r="AG189" s="545" t="str">
        <f t="shared" si="314"/>
        <v/>
      </c>
      <c r="AH189" s="545" t="str">
        <f t="shared" si="314"/>
        <v/>
      </c>
      <c r="CS189" s="63" t="e">
        <f>ROUNDDOWN(PI()*POWER(CT189/2/10,2)*(CT189/10-IF(CT189&lt;180,0,6))/4*IF(OR(#REF!=0,#REF!=1),1,#REF!),0)</f>
        <v>#REF!</v>
      </c>
      <c r="CT189" s="3">
        <v>120</v>
      </c>
      <c r="CU189" s="63" t="e">
        <f>ROUNDDOWN(PI()*POWER(CV189/2/10,3)*(CV189/10-IF(CV189&lt;180,0,6))/4*IF(OR(#REF!=0,#REF!=1),1,#REF!),0)</f>
        <v>#REF!</v>
      </c>
      <c r="CV189" s="3">
        <v>120</v>
      </c>
    </row>
    <row r="190" spans="6:100" ht="15.95" hidden="1" customHeight="1" x14ac:dyDescent="0.15">
      <c r="F190" s="194"/>
      <c r="G190" s="539" t="s">
        <v>1115</v>
      </c>
      <c r="H190" s="542" t="s">
        <v>1116</v>
      </c>
      <c r="I190" s="539" t="str">
        <f t="shared" ref="I190:N190" si="315">IF(I189=+"",+"",ROUND(I189*(I179/I187*I178)*I186/1000,2))</f>
        <v/>
      </c>
      <c r="J190" s="539" t="str">
        <f t="shared" si="315"/>
        <v/>
      </c>
      <c r="K190" s="539" t="str">
        <f t="shared" si="315"/>
        <v/>
      </c>
      <c r="L190" s="539" t="str">
        <f t="shared" si="315"/>
        <v/>
      </c>
      <c r="M190" s="539" t="str">
        <f t="shared" si="315"/>
        <v/>
      </c>
      <c r="N190" s="539" t="str">
        <f t="shared" si="315"/>
        <v/>
      </c>
      <c r="O190" s="539" t="str">
        <f t="shared" ref="O190:AB190" si="316">IF(O189=+"",+"",ROUND(O189*(O179/O187*O178)*O186/1000,2))</f>
        <v/>
      </c>
      <c r="P190" s="539" t="str">
        <f t="shared" si="316"/>
        <v/>
      </c>
      <c r="Q190" s="539" t="str">
        <f t="shared" si="316"/>
        <v/>
      </c>
      <c r="R190" s="539" t="str">
        <f t="shared" si="316"/>
        <v/>
      </c>
      <c r="S190" s="539" t="str">
        <f t="shared" si="316"/>
        <v/>
      </c>
      <c r="T190" s="539" t="str">
        <f t="shared" si="316"/>
        <v/>
      </c>
      <c r="U190" s="539" t="str">
        <f t="shared" si="316"/>
        <v/>
      </c>
      <c r="V190" s="539" t="str">
        <f t="shared" si="316"/>
        <v/>
      </c>
      <c r="W190" s="539" t="str">
        <f t="shared" si="316"/>
        <v/>
      </c>
      <c r="X190" s="539" t="str">
        <f t="shared" si="316"/>
        <v/>
      </c>
      <c r="Y190" s="539" t="str">
        <f t="shared" si="316"/>
        <v/>
      </c>
      <c r="Z190" s="539" t="str">
        <f t="shared" si="316"/>
        <v/>
      </c>
      <c r="AA190" s="539" t="str">
        <f t="shared" si="316"/>
        <v/>
      </c>
      <c r="AB190" s="545" t="str">
        <f t="shared" si="316"/>
        <v/>
      </c>
      <c r="AC190" s="545" t="str">
        <f>IF(AC189=+"",+"",ROUND(AC189*(AC179/AC187*AC178)*AC186/1000,2))</f>
        <v/>
      </c>
      <c r="AD190" s="545" t="str">
        <f t="shared" ref="AD190:AH190" si="317">IF(AD189=+"",+"",ROUND(AD189*(AD179/AD187*AD178)*AD186/1000,2))</f>
        <v/>
      </c>
      <c r="AE190" s="545" t="str">
        <f t="shared" si="317"/>
        <v/>
      </c>
      <c r="AF190" s="545" t="str">
        <f t="shared" si="317"/>
        <v/>
      </c>
      <c r="AG190" s="545" t="str">
        <f t="shared" si="317"/>
        <v/>
      </c>
      <c r="AH190" s="545" t="str">
        <f t="shared" si="317"/>
        <v/>
      </c>
      <c r="CS190" s="3" t="e">
        <f>+CS189+0.001</f>
        <v>#REF!</v>
      </c>
      <c r="CT190" s="3">
        <v>135</v>
      </c>
      <c r="CU190" s="3" t="e">
        <f>+CU189+0.001</f>
        <v>#REF!</v>
      </c>
      <c r="CV190" s="3">
        <v>135</v>
      </c>
    </row>
    <row r="191" spans="6:100" ht="15.95" hidden="1" customHeight="1" x14ac:dyDescent="0.15">
      <c r="F191" s="194"/>
      <c r="G191" s="539" t="s">
        <v>1117</v>
      </c>
      <c r="H191" s="542"/>
      <c r="I191" s="539">
        <v>1.1000000000000001</v>
      </c>
      <c r="J191" s="539" t="str">
        <f>IF(J179=0,+"",+$I$191)</f>
        <v/>
      </c>
      <c r="K191" s="539" t="str">
        <f t="shared" ref="K191:AC191" si="318">IF(K179=0,+"",+$I$191)</f>
        <v/>
      </c>
      <c r="L191" s="539" t="str">
        <f t="shared" si="318"/>
        <v/>
      </c>
      <c r="M191" s="539" t="str">
        <f t="shared" si="318"/>
        <v/>
      </c>
      <c r="N191" s="539" t="str">
        <f t="shared" si="318"/>
        <v/>
      </c>
      <c r="O191" s="539" t="str">
        <f t="shared" si="318"/>
        <v/>
      </c>
      <c r="P191" s="539" t="str">
        <f t="shared" si="318"/>
        <v/>
      </c>
      <c r="Q191" s="539" t="str">
        <f t="shared" si="318"/>
        <v/>
      </c>
      <c r="R191" s="539" t="str">
        <f t="shared" si="318"/>
        <v/>
      </c>
      <c r="S191" s="539" t="str">
        <f t="shared" si="318"/>
        <v/>
      </c>
      <c r="T191" s="539" t="str">
        <f t="shared" si="318"/>
        <v/>
      </c>
      <c r="U191" s="539" t="str">
        <f t="shared" si="318"/>
        <v/>
      </c>
      <c r="V191" s="539" t="str">
        <f t="shared" si="318"/>
        <v/>
      </c>
      <c r="W191" s="539" t="str">
        <f t="shared" si="318"/>
        <v/>
      </c>
      <c r="X191" s="539" t="str">
        <f t="shared" si="318"/>
        <v/>
      </c>
      <c r="Y191" s="539" t="str">
        <f t="shared" si="318"/>
        <v/>
      </c>
      <c r="Z191" s="539" t="str">
        <f t="shared" si="318"/>
        <v/>
      </c>
      <c r="AA191" s="539" t="str">
        <f t="shared" si="318"/>
        <v/>
      </c>
      <c r="AB191" s="539" t="str">
        <f t="shared" si="318"/>
        <v/>
      </c>
      <c r="AC191" s="539" t="str">
        <f t="shared" si="318"/>
        <v/>
      </c>
      <c r="AD191" s="539" t="str">
        <f t="shared" ref="AD191:AH191" si="319">IF(AD179=0,+"",+$I$191)</f>
        <v/>
      </c>
      <c r="AE191" s="539" t="str">
        <f t="shared" si="319"/>
        <v/>
      </c>
      <c r="AF191" s="539" t="str">
        <f t="shared" si="319"/>
        <v/>
      </c>
      <c r="AG191" s="539" t="str">
        <f t="shared" si="319"/>
        <v/>
      </c>
      <c r="AH191" s="539" t="str">
        <f t="shared" si="319"/>
        <v/>
      </c>
      <c r="CS191" s="63" t="e">
        <f>ROUNDDOWN(PI()*POWER(CT191/2/10,2)*(CT191/10-IF(CT191&lt;180,0,6))/4*IF(OR(#REF!=0,#REF!=1),1,#REF!),0)</f>
        <v>#REF!</v>
      </c>
      <c r="CT191" s="3">
        <v>135</v>
      </c>
      <c r="CU191" s="63" t="e">
        <f>ROUNDDOWN(PI()*POWER(CV191/2/10,3)*(CV191/10-IF(CV191&lt;180,0,6))/4*IF(OR(#REF!=0,#REF!=1),1,#REF!),0)</f>
        <v>#REF!</v>
      </c>
      <c r="CV191" s="3">
        <v>135</v>
      </c>
    </row>
    <row r="192" spans="6:100" ht="15.95" hidden="1" customHeight="1" x14ac:dyDescent="0.15">
      <c r="F192" s="194"/>
      <c r="G192" s="539" t="s">
        <v>1118</v>
      </c>
      <c r="H192" s="542" t="s">
        <v>1116</v>
      </c>
      <c r="I192" s="539">
        <f>IF(I191=+"",+"",ROUND(I191*I$175*I182*I178/1000,2))</f>
        <v>0</v>
      </c>
      <c r="J192" s="539" t="str">
        <f>IF(J191=+"",+"",ROUND(J191*$J$175*J182*J178/1000,2))</f>
        <v/>
      </c>
      <c r="K192" s="539" t="str">
        <f>IF(K191=+"",+"",ROUND(K191*$K$175*K182*K178/1000,2))</f>
        <v/>
      </c>
      <c r="L192" s="539" t="str">
        <f>IF(L191=+"",+"",ROUND(L191*$L$175*L182*L178/1000,2))</f>
        <v/>
      </c>
      <c r="M192" s="539" t="str">
        <f>IF(M191=+"",+"",ROUND(M191*$M$175*M182*M178/1000,2))</f>
        <v/>
      </c>
      <c r="N192" s="539" t="str">
        <f>IF(N191=+"",+"",ROUND(N191*$N$175*N182*N178/1000,2))</f>
        <v/>
      </c>
      <c r="O192" s="539" t="str">
        <f>IF(O191=+"",+"",ROUND(O191*$O$175*O182*O178/1000,2))</f>
        <v/>
      </c>
      <c r="P192" s="539" t="str">
        <f>IF(P191=+"",+"",ROUND(P191*$P$175*P182*P178/1000,2))</f>
        <v/>
      </c>
      <c r="Q192" s="539" t="str">
        <f>IF(Q191=+"",+"",ROUND(Q191*$Q$175*Q182*Q178/1000,2))</f>
        <v/>
      </c>
      <c r="R192" s="539" t="str">
        <f>IF(R191=+"",+"",ROUND(R191*$R$175*R182*R178/1000,2))</f>
        <v/>
      </c>
      <c r="S192" s="539" t="str">
        <f>IF(S191=+"",+"",ROUND(S191*$S$175*S182*S178/1000,2))</f>
        <v/>
      </c>
      <c r="T192" s="539" t="str">
        <f>IF(T191=+"",+"",ROUND(T191*$T$175*T182*T178/1000,2))</f>
        <v/>
      </c>
      <c r="U192" s="539" t="str">
        <f>IF(U191=+"",+"",ROUND(U191*$U$175*U182*U178/1000,2))</f>
        <v/>
      </c>
      <c r="V192" s="539" t="str">
        <f>IF(V191=+"",+"",ROUND(V191*$V$175*V182*V178/1000,2))</f>
        <v/>
      </c>
      <c r="W192" s="539" t="str">
        <f>IF(W191=+"",+"",ROUND(W191*$W$175*W182*W178/1000,2))</f>
        <v/>
      </c>
      <c r="X192" s="539" t="str">
        <f>IF(X191=+"",+"",ROUND(X191*$X$175*X182*X178/1000,2))</f>
        <v/>
      </c>
      <c r="Y192" s="539" t="str">
        <f>IF(Y191=+"",+"",ROUND(Y191*$Y$175*Y182*Y178/1000,2))</f>
        <v/>
      </c>
      <c r="Z192" s="539" t="str">
        <f>IF(Z191=+"",+"",ROUND(Z191*$Z$175*Z182*Z178/1000,2))</f>
        <v/>
      </c>
      <c r="AA192" s="539" t="str">
        <f>IF(AA191=+"",+"",ROUND(AA191*$AA$175*AA182*AA178/1000,2))</f>
        <v/>
      </c>
      <c r="AB192" s="545" t="str">
        <f>IF(AB191=+"",+"",ROUND(AB191*$AB$175*AB182*AB178/1000,2))</f>
        <v/>
      </c>
      <c r="AC192" s="545" t="str">
        <f>IF(AC191=+"",+"",ROUND(AC191*$AC$175*AC182*AC178/1000,2))</f>
        <v/>
      </c>
      <c r="AD192" s="545" t="str">
        <f t="shared" ref="AD192:AH192" si="320">IF(AD191=+"",+"",ROUND(AD191*$AC$175*AD182*AD178/1000,2))</f>
        <v/>
      </c>
      <c r="AE192" s="545" t="str">
        <f t="shared" si="320"/>
        <v/>
      </c>
      <c r="AF192" s="545" t="str">
        <f t="shared" si="320"/>
        <v/>
      </c>
      <c r="AG192" s="545" t="str">
        <f t="shared" si="320"/>
        <v/>
      </c>
      <c r="AH192" s="545" t="str">
        <f t="shared" si="320"/>
        <v/>
      </c>
      <c r="CS192" s="3" t="e">
        <f>+CS191+0.001</f>
        <v>#REF!</v>
      </c>
      <c r="CT192" s="3">
        <v>150</v>
      </c>
      <c r="CU192" s="3" t="e">
        <f>+CU191+0.001</f>
        <v>#REF!</v>
      </c>
      <c r="CV192" s="3">
        <v>150</v>
      </c>
    </row>
    <row r="193" spans="6:100" ht="15.95" hidden="1" customHeight="1" x14ac:dyDescent="0.15">
      <c r="F193" s="194"/>
      <c r="G193" s="539" t="s">
        <v>1119</v>
      </c>
      <c r="H193" s="542" t="s">
        <v>1120</v>
      </c>
      <c r="I193" s="539" t="e">
        <f t="shared" ref="I193:N193" si="321">IF(I192=+"",+"",ROUND(I190*2+I192,2))</f>
        <v>#VALUE!</v>
      </c>
      <c r="J193" s="539" t="str">
        <f t="shared" si="321"/>
        <v/>
      </c>
      <c r="K193" s="539" t="str">
        <f t="shared" si="321"/>
        <v/>
      </c>
      <c r="L193" s="539" t="str">
        <f t="shared" si="321"/>
        <v/>
      </c>
      <c r="M193" s="539" t="str">
        <f t="shared" si="321"/>
        <v/>
      </c>
      <c r="N193" s="539" t="str">
        <f t="shared" si="321"/>
        <v/>
      </c>
      <c r="O193" s="539" t="str">
        <f t="shared" ref="O193:AB193" si="322">IF(O192=+"",+"",ROUND(O190*2+O192,2))</f>
        <v/>
      </c>
      <c r="P193" s="539" t="str">
        <f t="shared" si="322"/>
        <v/>
      </c>
      <c r="Q193" s="539" t="str">
        <f t="shared" si="322"/>
        <v/>
      </c>
      <c r="R193" s="539" t="str">
        <f t="shared" si="322"/>
        <v/>
      </c>
      <c r="S193" s="539" t="str">
        <f t="shared" si="322"/>
        <v/>
      </c>
      <c r="T193" s="539" t="str">
        <f t="shared" si="322"/>
        <v/>
      </c>
      <c r="U193" s="539" t="str">
        <f t="shared" si="322"/>
        <v/>
      </c>
      <c r="V193" s="539" t="str">
        <f t="shared" si="322"/>
        <v/>
      </c>
      <c r="W193" s="539" t="str">
        <f t="shared" si="322"/>
        <v/>
      </c>
      <c r="X193" s="539" t="str">
        <f t="shared" si="322"/>
        <v/>
      </c>
      <c r="Y193" s="539" t="str">
        <f t="shared" si="322"/>
        <v/>
      </c>
      <c r="Z193" s="539" t="str">
        <f t="shared" si="322"/>
        <v/>
      </c>
      <c r="AA193" s="539" t="str">
        <f t="shared" si="322"/>
        <v/>
      </c>
      <c r="AB193" s="545" t="str">
        <f t="shared" si="322"/>
        <v/>
      </c>
      <c r="AC193" s="545" t="str">
        <f>IF(AC192=+"",+"",ROUND(AC190*2+AC192,2))</f>
        <v/>
      </c>
      <c r="AD193" s="545" t="str">
        <f t="shared" ref="AD193:AH193" si="323">IF(AD192=+"",+"",ROUND(AD190*2+AD192,2))</f>
        <v/>
      </c>
      <c r="AE193" s="545" t="str">
        <f t="shared" si="323"/>
        <v/>
      </c>
      <c r="AF193" s="545" t="str">
        <f t="shared" si="323"/>
        <v/>
      </c>
      <c r="AG193" s="545" t="str">
        <f t="shared" si="323"/>
        <v/>
      </c>
      <c r="AH193" s="545" t="str">
        <f t="shared" si="323"/>
        <v/>
      </c>
      <c r="CS193" s="63" t="e">
        <f>ROUNDDOWN(PI()*POWER(CT193/2/10,2)*(CT193/10-IF(CT193&lt;180,0,6))/4*IF(OR(#REF!=0,#REF!=1),1,#REF!),0)</f>
        <v>#REF!</v>
      </c>
      <c r="CT193" s="3">
        <v>150</v>
      </c>
      <c r="CU193" s="63" t="e">
        <f>ROUNDDOWN(PI()*POWER(CV193/2/10,3)*(CV193/10-IF(CV193&lt;180,0,6))/4*IF(OR(#REF!=0,#REF!=1),1,#REF!),0)</f>
        <v>#REF!</v>
      </c>
      <c r="CV193" s="3">
        <v>150</v>
      </c>
    </row>
    <row r="194" spans="6:100" ht="15.95" hidden="1" customHeight="1" x14ac:dyDescent="0.15">
      <c r="F194" s="194"/>
      <c r="G194" s="539" t="s">
        <v>1121</v>
      </c>
      <c r="H194" s="542" t="s">
        <v>1122</v>
      </c>
      <c r="I194" s="539" t="e">
        <f t="shared" ref="I194:N194" si="324">IF(I192=+"",+"",ROUND(I190*2/(I190*2+I192),2))</f>
        <v>#VALUE!</v>
      </c>
      <c r="J194" s="539" t="str">
        <f t="shared" si="324"/>
        <v/>
      </c>
      <c r="K194" s="539" t="str">
        <f t="shared" si="324"/>
        <v/>
      </c>
      <c r="L194" s="539" t="str">
        <f t="shared" si="324"/>
        <v/>
      </c>
      <c r="M194" s="539" t="str">
        <f t="shared" si="324"/>
        <v/>
      </c>
      <c r="N194" s="539" t="str">
        <f t="shared" si="324"/>
        <v/>
      </c>
      <c r="O194" s="539" t="str">
        <f t="shared" ref="O194:AB194" si="325">IF(O192=+"",+"",ROUND(O190*2/(O190*2+O192),2))</f>
        <v/>
      </c>
      <c r="P194" s="539" t="str">
        <f t="shared" si="325"/>
        <v/>
      </c>
      <c r="Q194" s="539" t="str">
        <f t="shared" si="325"/>
        <v/>
      </c>
      <c r="R194" s="539" t="str">
        <f t="shared" si="325"/>
        <v/>
      </c>
      <c r="S194" s="539" t="str">
        <f t="shared" si="325"/>
        <v/>
      </c>
      <c r="T194" s="539" t="str">
        <f t="shared" si="325"/>
        <v/>
      </c>
      <c r="U194" s="539" t="str">
        <f t="shared" si="325"/>
        <v/>
      </c>
      <c r="V194" s="539" t="str">
        <f t="shared" si="325"/>
        <v/>
      </c>
      <c r="W194" s="539" t="str">
        <f t="shared" si="325"/>
        <v/>
      </c>
      <c r="X194" s="539" t="str">
        <f t="shared" si="325"/>
        <v/>
      </c>
      <c r="Y194" s="539" t="str">
        <f t="shared" si="325"/>
        <v/>
      </c>
      <c r="Z194" s="539" t="str">
        <f t="shared" si="325"/>
        <v/>
      </c>
      <c r="AA194" s="539" t="str">
        <f t="shared" si="325"/>
        <v/>
      </c>
      <c r="AB194" s="545" t="str">
        <f t="shared" si="325"/>
        <v/>
      </c>
      <c r="AC194" s="545" t="str">
        <f>IF(AC192=+"",+"",ROUND(AC190*2/(AC190*2+AC192),2))</f>
        <v/>
      </c>
      <c r="AD194" s="545" t="str">
        <f t="shared" ref="AD194:AH194" si="326">IF(AD192=+"",+"",ROUND(AD190*2/(AD190*2+AD192),2))</f>
        <v/>
      </c>
      <c r="AE194" s="545" t="str">
        <f t="shared" si="326"/>
        <v/>
      </c>
      <c r="AF194" s="545" t="str">
        <f t="shared" si="326"/>
        <v/>
      </c>
      <c r="AG194" s="545" t="str">
        <f t="shared" si="326"/>
        <v/>
      </c>
      <c r="AH194" s="545" t="str">
        <f t="shared" si="326"/>
        <v/>
      </c>
      <c r="CS194" s="3" t="e">
        <f>+CS193+0.001</f>
        <v>#REF!</v>
      </c>
      <c r="CT194" s="3">
        <v>180</v>
      </c>
      <c r="CU194" s="3" t="e">
        <f>+CU193+0.001</f>
        <v>#REF!</v>
      </c>
      <c r="CV194" s="3">
        <v>180</v>
      </c>
    </row>
    <row r="195" spans="6:100" ht="15.95" hidden="1" customHeight="1" x14ac:dyDescent="0.15">
      <c r="F195" s="194"/>
      <c r="G195" s="539"/>
      <c r="H195" s="542" t="s">
        <v>1123</v>
      </c>
      <c r="I195" s="539" t="e">
        <f t="shared" ref="I195:N195" si="327">IF(I194=+"",+"",1-I194)</f>
        <v>#VALUE!</v>
      </c>
      <c r="J195" s="539" t="str">
        <f t="shared" si="327"/>
        <v/>
      </c>
      <c r="K195" s="539" t="str">
        <f t="shared" si="327"/>
        <v/>
      </c>
      <c r="L195" s="539" t="str">
        <f t="shared" si="327"/>
        <v/>
      </c>
      <c r="M195" s="539" t="str">
        <f t="shared" si="327"/>
        <v/>
      </c>
      <c r="N195" s="539" t="str">
        <f t="shared" si="327"/>
        <v/>
      </c>
      <c r="O195" s="539" t="str">
        <f t="shared" ref="O195:AB195" si="328">IF(O194=+"",+"",1-O194)</f>
        <v/>
      </c>
      <c r="P195" s="539" t="str">
        <f t="shared" si="328"/>
        <v/>
      </c>
      <c r="Q195" s="539" t="str">
        <f t="shared" si="328"/>
        <v/>
      </c>
      <c r="R195" s="539" t="str">
        <f t="shared" si="328"/>
        <v/>
      </c>
      <c r="S195" s="539" t="str">
        <f t="shared" si="328"/>
        <v/>
      </c>
      <c r="T195" s="539" t="str">
        <f t="shared" si="328"/>
        <v/>
      </c>
      <c r="U195" s="539" t="str">
        <f t="shared" si="328"/>
        <v/>
      </c>
      <c r="V195" s="539" t="str">
        <f t="shared" si="328"/>
        <v/>
      </c>
      <c r="W195" s="539" t="str">
        <f t="shared" si="328"/>
        <v/>
      </c>
      <c r="X195" s="539" t="str">
        <f t="shared" si="328"/>
        <v/>
      </c>
      <c r="Y195" s="539" t="str">
        <f t="shared" si="328"/>
        <v/>
      </c>
      <c r="Z195" s="539" t="str">
        <f t="shared" si="328"/>
        <v/>
      </c>
      <c r="AA195" s="539" t="str">
        <f t="shared" si="328"/>
        <v/>
      </c>
      <c r="AB195" s="545" t="str">
        <f t="shared" si="328"/>
        <v/>
      </c>
      <c r="AC195" s="545" t="str">
        <f>IF(AC194=+"",+"",1-AC194)</f>
        <v/>
      </c>
      <c r="AD195" s="545" t="str">
        <f t="shared" ref="AD195:AH195" si="329">IF(AD194=+"",+"",1-AD194)</f>
        <v/>
      </c>
      <c r="AE195" s="545" t="str">
        <f t="shared" si="329"/>
        <v/>
      </c>
      <c r="AF195" s="545" t="str">
        <f t="shared" si="329"/>
        <v/>
      </c>
      <c r="AG195" s="545" t="str">
        <f t="shared" si="329"/>
        <v/>
      </c>
      <c r="AH195" s="545" t="str">
        <f t="shared" si="329"/>
        <v/>
      </c>
      <c r="CS195" s="63" t="e">
        <f>ROUNDDOWN(PI()*POWER(CT195/2/10,2)*(CT195/10-IF(CT195&lt;180,0,6))/4*IF(OR(#REF!=0,#REF!=1),1,#REF!),0)</f>
        <v>#REF!</v>
      </c>
      <c r="CT195" s="3">
        <v>180</v>
      </c>
      <c r="CU195" s="63" t="e">
        <f>ROUNDDOWN(PI()*POWER(CV195/2/10,3)*(CV195/10-IF(CV195&lt;180,0,6))/4*IF(OR(#REF!=0,#REF!=1),1,#REF!),0)</f>
        <v>#REF!</v>
      </c>
      <c r="CV195" s="3">
        <v>180</v>
      </c>
    </row>
    <row r="196" spans="6:100" ht="15.95" hidden="1" customHeight="1" x14ac:dyDescent="0.15">
      <c r="F196" s="194"/>
      <c r="G196" s="539" t="s">
        <v>1124</v>
      </c>
      <c r="H196" s="542" t="s">
        <v>1125</v>
      </c>
      <c r="I196" s="543" t="str">
        <f t="shared" ref="I196:N196" si="330">+IF(I181=0,+"",ROUND((I181+I182)/2*I179,0))</f>
        <v/>
      </c>
      <c r="J196" s="543" t="str">
        <f t="shared" si="330"/>
        <v/>
      </c>
      <c r="K196" s="543" t="str">
        <f t="shared" si="330"/>
        <v/>
      </c>
      <c r="L196" s="543" t="str">
        <f t="shared" si="330"/>
        <v/>
      </c>
      <c r="M196" s="543" t="str">
        <f t="shared" si="330"/>
        <v/>
      </c>
      <c r="N196" s="543" t="str">
        <f t="shared" si="330"/>
        <v/>
      </c>
      <c r="O196" s="543" t="str">
        <f t="shared" ref="O196:AB196" si="331">+IF(O181=0,+"",ROUND((O181+O182)/2*O179,0))</f>
        <v/>
      </c>
      <c r="P196" s="543" t="str">
        <f t="shared" si="331"/>
        <v/>
      </c>
      <c r="Q196" s="543" t="str">
        <f t="shared" si="331"/>
        <v/>
      </c>
      <c r="R196" s="543" t="str">
        <f t="shared" si="331"/>
        <v/>
      </c>
      <c r="S196" s="543" t="str">
        <f t="shared" si="331"/>
        <v/>
      </c>
      <c r="T196" s="543" t="str">
        <f t="shared" si="331"/>
        <v/>
      </c>
      <c r="U196" s="543" t="str">
        <f t="shared" si="331"/>
        <v/>
      </c>
      <c r="V196" s="543" t="str">
        <f t="shared" si="331"/>
        <v/>
      </c>
      <c r="W196" s="543" t="str">
        <f t="shared" si="331"/>
        <v/>
      </c>
      <c r="X196" s="543" t="str">
        <f t="shared" si="331"/>
        <v/>
      </c>
      <c r="Y196" s="543" t="str">
        <f t="shared" si="331"/>
        <v/>
      </c>
      <c r="Z196" s="543" t="str">
        <f t="shared" si="331"/>
        <v/>
      </c>
      <c r="AA196" s="543" t="str">
        <f t="shared" si="331"/>
        <v/>
      </c>
      <c r="AB196" s="550" t="str">
        <f t="shared" si="331"/>
        <v/>
      </c>
      <c r="AC196" s="550" t="str">
        <f>+IF(AC181=0,+"",ROUND((AC181+AC182)/2*AC179,0))</f>
        <v/>
      </c>
      <c r="AD196" s="550" t="str">
        <f t="shared" ref="AD196:AH196" si="332">+IF(AD181=0,+"",ROUND((AD181+AD182)/2*AD179,0))</f>
        <v/>
      </c>
      <c r="AE196" s="550" t="str">
        <f t="shared" si="332"/>
        <v/>
      </c>
      <c r="AF196" s="550" t="str">
        <f t="shared" si="332"/>
        <v/>
      </c>
      <c r="AG196" s="550" t="str">
        <f t="shared" si="332"/>
        <v/>
      </c>
      <c r="AH196" s="550" t="str">
        <f t="shared" si="332"/>
        <v/>
      </c>
      <c r="CS196" s="3" t="e">
        <f>+CS195+0.001</f>
        <v>#REF!</v>
      </c>
      <c r="CT196" s="3">
        <v>210</v>
      </c>
      <c r="CU196" s="3" t="e">
        <f>+CU195+0.001</f>
        <v>#REF!</v>
      </c>
      <c r="CV196" s="3">
        <v>210</v>
      </c>
    </row>
    <row r="197" spans="6:100" ht="15.95" hidden="1" customHeight="1" x14ac:dyDescent="0.15">
      <c r="F197" s="194"/>
      <c r="G197" s="539" t="s">
        <v>1126</v>
      </c>
      <c r="H197" s="542"/>
      <c r="I197" s="539" t="str">
        <f t="shared" ref="I197" si="333">IF(I196=+"",+"",ROUND($I$173*I196*$I$172/1000,2))</f>
        <v/>
      </c>
      <c r="J197" s="539" t="str">
        <f>IF(J196=+"",+"",ROUND($J$173*J196*$J$172/1000,2))</f>
        <v/>
      </c>
      <c r="K197" s="539" t="str">
        <f>IF(K196=+"",+"",ROUND($K$173*K196*$K$172/1000,2))</f>
        <v/>
      </c>
      <c r="L197" s="539" t="str">
        <f>IF(L196=+"",+"",ROUND($L$173*L196*$L$172/1000,2))</f>
        <v/>
      </c>
      <c r="M197" s="539" t="str">
        <f>IF(M196=+"",+"",ROUND($M$173*M196*$M$172/1000,2))</f>
        <v/>
      </c>
      <c r="N197" s="539" t="str">
        <f>IF(N196=+"",+"",ROUND(N$173*N196*N$172/1000,2))</f>
        <v/>
      </c>
      <c r="O197" s="539" t="str">
        <f>IF(O196=+"",+"",ROUND(O$173*O196*O$172/1000,2))</f>
        <v/>
      </c>
      <c r="P197" s="539" t="str">
        <f t="shared" ref="P197:AC197" si="334">IF(P196=+"",+"",ROUND(P$173*P196*P$172/1000,2))</f>
        <v/>
      </c>
      <c r="Q197" s="539" t="str">
        <f t="shared" si="334"/>
        <v/>
      </c>
      <c r="R197" s="539" t="str">
        <f t="shared" si="334"/>
        <v/>
      </c>
      <c r="S197" s="539" t="str">
        <f t="shared" si="334"/>
        <v/>
      </c>
      <c r="T197" s="539" t="str">
        <f t="shared" si="334"/>
        <v/>
      </c>
      <c r="U197" s="539" t="str">
        <f t="shared" si="334"/>
        <v/>
      </c>
      <c r="V197" s="539" t="str">
        <f t="shared" si="334"/>
        <v/>
      </c>
      <c r="W197" s="539" t="str">
        <f t="shared" si="334"/>
        <v/>
      </c>
      <c r="X197" s="539" t="str">
        <f t="shared" si="334"/>
        <v/>
      </c>
      <c r="Y197" s="539" t="str">
        <f t="shared" si="334"/>
        <v/>
      </c>
      <c r="Z197" s="539" t="str">
        <f t="shared" si="334"/>
        <v/>
      </c>
      <c r="AA197" s="539" t="str">
        <f t="shared" si="334"/>
        <v/>
      </c>
      <c r="AB197" s="539" t="str">
        <f t="shared" si="334"/>
        <v/>
      </c>
      <c r="AC197" s="539" t="str">
        <f t="shared" si="334"/>
        <v/>
      </c>
      <c r="AD197" s="539" t="str">
        <f t="shared" ref="AD197:AH197" si="335">IF(AD196=+"",+"",ROUND(AD$173*AD196*AD$172/1000,2))</f>
        <v/>
      </c>
      <c r="AE197" s="539" t="str">
        <f t="shared" si="335"/>
        <v/>
      </c>
      <c r="AF197" s="539" t="str">
        <f t="shared" si="335"/>
        <v/>
      </c>
      <c r="AG197" s="539" t="str">
        <f t="shared" si="335"/>
        <v/>
      </c>
      <c r="AH197" s="539" t="str">
        <f t="shared" si="335"/>
        <v/>
      </c>
      <c r="CS197" s="63" t="e">
        <f>ROUNDDOWN(PI()*POWER(CT197/2/10,2)*(CT197/10-IF(CT197&lt;180,0,6))/4*IF(OR(#REF!=0,#REF!=1),1,#REF!),0)</f>
        <v>#REF!</v>
      </c>
      <c r="CT197" s="3">
        <v>210</v>
      </c>
      <c r="CU197" s="63" t="e">
        <f>ROUNDDOWN(PI()*POWER(CV197/2/10,3)*(CV197/10-IF(CV197&lt;180,0,6))/4*IF(OR(#REF!=0,#REF!=1),1,#REF!),0)</f>
        <v>#REF!</v>
      </c>
      <c r="CV197" s="3">
        <v>210</v>
      </c>
    </row>
    <row r="198" spans="6:100" ht="15.95" hidden="1" customHeight="1" x14ac:dyDescent="0.15">
      <c r="F198" s="194"/>
      <c r="G198" s="539" t="s">
        <v>1127</v>
      </c>
      <c r="H198" s="542"/>
      <c r="I198" s="539" t="e">
        <f t="shared" ref="I198:N198" si="336">IF(I193=+"",+"",ROUND(I193*2/3,2))</f>
        <v>#VALUE!</v>
      </c>
      <c r="J198" s="539" t="str">
        <f t="shared" si="336"/>
        <v/>
      </c>
      <c r="K198" s="539" t="str">
        <f t="shared" si="336"/>
        <v/>
      </c>
      <c r="L198" s="539" t="str">
        <f t="shared" si="336"/>
        <v/>
      </c>
      <c r="M198" s="539" t="str">
        <f t="shared" si="336"/>
        <v/>
      </c>
      <c r="N198" s="539" t="str">
        <f t="shared" si="336"/>
        <v/>
      </c>
      <c r="O198" s="539" t="str">
        <f t="shared" ref="O198:AB198" si="337">IF(O193=+"",+"",ROUND(O193*2/3,2))</f>
        <v/>
      </c>
      <c r="P198" s="539" t="str">
        <f t="shared" si="337"/>
        <v/>
      </c>
      <c r="Q198" s="539" t="str">
        <f t="shared" si="337"/>
        <v/>
      </c>
      <c r="R198" s="539" t="str">
        <f t="shared" si="337"/>
        <v/>
      </c>
      <c r="S198" s="539" t="str">
        <f t="shared" si="337"/>
        <v/>
      </c>
      <c r="T198" s="539" t="str">
        <f t="shared" si="337"/>
        <v/>
      </c>
      <c r="U198" s="539" t="str">
        <f t="shared" si="337"/>
        <v/>
      </c>
      <c r="V198" s="539" t="str">
        <f t="shared" si="337"/>
        <v/>
      </c>
      <c r="W198" s="539" t="str">
        <f t="shared" si="337"/>
        <v/>
      </c>
      <c r="X198" s="539" t="str">
        <f t="shared" si="337"/>
        <v/>
      </c>
      <c r="Y198" s="539" t="str">
        <f t="shared" si="337"/>
        <v/>
      </c>
      <c r="Z198" s="539" t="str">
        <f t="shared" si="337"/>
        <v/>
      </c>
      <c r="AA198" s="539" t="str">
        <f t="shared" si="337"/>
        <v/>
      </c>
      <c r="AB198" s="545" t="str">
        <f t="shared" si="337"/>
        <v/>
      </c>
      <c r="AC198" s="545" t="str">
        <f>IF(AC193=+"",+"",ROUND(AC193*2/3,2))</f>
        <v/>
      </c>
      <c r="AD198" s="545" t="str">
        <f t="shared" ref="AD198:AH198" si="338">IF(AD193=+"",+"",ROUND(AD193*2/3,2))</f>
        <v/>
      </c>
      <c r="AE198" s="545" t="str">
        <f t="shared" si="338"/>
        <v/>
      </c>
      <c r="AF198" s="545" t="str">
        <f t="shared" si="338"/>
        <v/>
      </c>
      <c r="AG198" s="545" t="str">
        <f t="shared" si="338"/>
        <v/>
      </c>
      <c r="AH198" s="545" t="str">
        <f t="shared" si="338"/>
        <v/>
      </c>
      <c r="CS198" s="3" t="e">
        <f>+CS197+0.001</f>
        <v>#REF!</v>
      </c>
      <c r="CT198" s="3">
        <v>240</v>
      </c>
      <c r="CU198" s="3" t="e">
        <f>+CU197+0.001</f>
        <v>#REF!</v>
      </c>
      <c r="CV198" s="3">
        <v>240</v>
      </c>
    </row>
    <row r="199" spans="6:100" ht="15.95" hidden="1" customHeight="1" x14ac:dyDescent="0.15">
      <c r="F199" s="194"/>
      <c r="G199" s="194"/>
      <c r="H199" s="194"/>
      <c r="I199" s="194"/>
      <c r="J199" s="194"/>
      <c r="K199" s="194"/>
      <c r="L199" s="194"/>
      <c r="M199" s="194"/>
      <c r="N199" s="194"/>
      <c r="O199" s="194"/>
      <c r="CS199" s="63" t="e">
        <f>ROUNDDOWN(PI()*POWER(CT199/2/10,2)*(CT199/10-IF(CT199&lt;180,0,6))/4*IF(OR(#REF!=0,#REF!=1),1,#REF!),0)</f>
        <v>#REF!</v>
      </c>
      <c r="CT199" s="3">
        <f>+CT197+30</f>
        <v>240</v>
      </c>
      <c r="CU199" s="63" t="e">
        <f>ROUNDDOWN(PI()*POWER(CV199/2/10,3)*(CV199/10-IF(CV199&lt;180,0,6))/4*IF(OR(#REF!=0,#REF!=1),1,#REF!),0)</f>
        <v>#REF!</v>
      </c>
      <c r="CV199" s="3">
        <f>+CV197+30</f>
        <v>240</v>
      </c>
    </row>
    <row r="200" spans="6:100" ht="15.95" hidden="1" customHeight="1" x14ac:dyDescent="0.15">
      <c r="F200" s="194"/>
      <c r="G200" s="302" t="s">
        <v>1128</v>
      </c>
      <c r="H200" s="194"/>
      <c r="I200" s="194" t="s">
        <v>1129</v>
      </c>
      <c r="J200" s="194"/>
      <c r="K200" s="194"/>
      <c r="L200" s="194"/>
      <c r="M200" s="194"/>
      <c r="N200" s="194"/>
      <c r="O200" s="194"/>
      <c r="CS200" s="3" t="e">
        <f>+CS199+0.001</f>
        <v>#REF!</v>
      </c>
      <c r="CT200" s="3">
        <v>270</v>
      </c>
      <c r="CU200" s="3" t="e">
        <f>+CU199+0.001</f>
        <v>#REF!</v>
      </c>
      <c r="CV200" s="3">
        <v>270</v>
      </c>
    </row>
    <row r="201" spans="6:100" ht="15.95" hidden="1" customHeight="1" x14ac:dyDescent="0.15">
      <c r="F201" s="194"/>
      <c r="G201" s="194"/>
      <c r="H201" s="440" t="s">
        <v>1130</v>
      </c>
      <c r="I201" s="544">
        <v>2</v>
      </c>
      <c r="J201" s="544">
        <v>4</v>
      </c>
      <c r="K201" s="544">
        <v>6</v>
      </c>
      <c r="L201" s="544">
        <v>8</v>
      </c>
      <c r="M201" s="544">
        <v>10</v>
      </c>
      <c r="N201" s="544">
        <v>12</v>
      </c>
      <c r="O201" s="194"/>
      <c r="CS201" s="63" t="e">
        <f>ROUNDDOWN(PI()*POWER(CT201/2/10,2)*(CT201/10-IF(CT201&lt;180,0,6))/4*IF(OR(#REF!=0,#REF!=1),1,#REF!),0)</f>
        <v>#REF!</v>
      </c>
      <c r="CT201" s="3">
        <f>+CT199+30</f>
        <v>270</v>
      </c>
      <c r="CU201" s="63" t="e">
        <f>ROUNDDOWN(PI()*POWER(CV201/2/10,3)*(CV201/10-IF(CV201&lt;180,0,6))/4*IF(OR(#REF!=0,#REF!=1),1,#REF!),0)</f>
        <v>#REF!</v>
      </c>
      <c r="CV201" s="3">
        <f>+CV199+30</f>
        <v>270</v>
      </c>
    </row>
    <row r="202" spans="6:100" ht="15.95" hidden="1" customHeight="1" x14ac:dyDescent="0.15">
      <c r="F202" s="194"/>
      <c r="G202" s="194"/>
      <c r="H202" s="440" t="s">
        <v>1131</v>
      </c>
      <c r="I202" s="545">
        <v>0.42</v>
      </c>
      <c r="J202" s="545">
        <v>0.53</v>
      </c>
      <c r="K202" s="545">
        <v>0.66</v>
      </c>
      <c r="L202" s="545">
        <v>0.75</v>
      </c>
      <c r="M202" s="545">
        <v>0.9</v>
      </c>
      <c r="N202" s="546">
        <v>1</v>
      </c>
      <c r="O202" s="194"/>
      <c r="CS202" s="3" t="e">
        <f>+CS201+0.001</f>
        <v>#REF!</v>
      </c>
      <c r="CT202" s="3">
        <v>300</v>
      </c>
      <c r="CU202" s="3" t="e">
        <f>+CU201+0.001</f>
        <v>#REF!</v>
      </c>
      <c r="CV202" s="3">
        <v>300</v>
      </c>
    </row>
    <row r="203" spans="6:100" ht="15.95" hidden="1" customHeight="1" x14ac:dyDescent="0.15">
      <c r="F203" s="194"/>
      <c r="G203" s="194"/>
      <c r="H203" s="194"/>
      <c r="I203" s="440" t="s">
        <v>1130</v>
      </c>
      <c r="J203" s="440" t="s">
        <v>1152</v>
      </c>
      <c r="K203" s="194"/>
      <c r="L203" s="194"/>
      <c r="M203" s="194"/>
      <c r="N203" s="194"/>
      <c r="O203" s="194"/>
      <c r="CS203" s="63" t="e">
        <f>ROUNDDOWN(PI()*POWER(CT203/2/10,2)*(CT203/10-IF(CT203&lt;180,0,6))/4*IF(OR(#REF!=0,#REF!=1),1,#REF!),0)</f>
        <v>#REF!</v>
      </c>
      <c r="CT203" s="3">
        <f>+CT201+30</f>
        <v>300</v>
      </c>
      <c r="CU203" s="63" t="e">
        <f>ROUNDDOWN(PI()*POWER(CV203/2/10,3)*(CV203/10-IF(CV203&lt;180,0,6))/4*IF(OR(#REF!=0,#REF!=1),1,#REF!),0)</f>
        <v>#REF!</v>
      </c>
      <c r="CV203" s="3">
        <f>+CV201+30</f>
        <v>300</v>
      </c>
    </row>
    <row r="204" spans="6:100" ht="15.95" hidden="1" customHeight="1" x14ac:dyDescent="0.15">
      <c r="I204" s="544">
        <v>2</v>
      </c>
      <c r="J204" s="545">
        <v>0.42</v>
      </c>
      <c r="U204" s="63">
        <v>1</v>
      </c>
      <c r="V204" s="3" t="s">
        <v>727</v>
      </c>
      <c r="W204" s="96">
        <f>+準備!$G$20</f>
        <v>450</v>
      </c>
      <c r="CS204" s="3" t="e">
        <f>+CS203+0.001</f>
        <v>#REF!</v>
      </c>
      <c r="CT204" s="3">
        <v>330</v>
      </c>
      <c r="CU204" s="3" t="e">
        <f>+CU203+0.001</f>
        <v>#REF!</v>
      </c>
      <c r="CV204" s="3">
        <v>330</v>
      </c>
    </row>
    <row r="205" spans="6:100" ht="15.95" hidden="1" customHeight="1" x14ac:dyDescent="0.15">
      <c r="I205" s="544">
        <v>4</v>
      </c>
      <c r="J205" s="545">
        <v>0.53</v>
      </c>
      <c r="U205" s="63">
        <v>2</v>
      </c>
      <c r="V205" s="3" t="s">
        <v>728</v>
      </c>
      <c r="W205" s="96">
        <f>+準備!$G$24</f>
        <v>1100</v>
      </c>
      <c r="CS205" s="63" t="e">
        <f>ROUNDDOWN(PI()*POWER(CT205/2/10,2)*(CT205/10-IF(CT205&lt;180,0,6))/4*IF(OR(#REF!=0,#REF!=1),1,#REF!),0)</f>
        <v>#REF!</v>
      </c>
      <c r="CT205" s="3">
        <f>+CT203+30</f>
        <v>330</v>
      </c>
      <c r="CU205" s="63" t="e">
        <f>ROUNDDOWN(PI()*POWER(CV205/2/10,3)*(CV205/10-IF(CV205&lt;180,0,6))/4*IF(OR(#REF!=0,#REF!=1),1,#REF!),0)</f>
        <v>#REF!</v>
      </c>
      <c r="CV205" s="3">
        <f>+CV203+30</f>
        <v>330</v>
      </c>
    </row>
    <row r="206" spans="6:100" ht="15.95" hidden="1" customHeight="1" x14ac:dyDescent="0.15">
      <c r="I206" s="544">
        <v>6</v>
      </c>
      <c r="J206" s="545">
        <v>0.66</v>
      </c>
      <c r="M206" s="3" t="s">
        <v>1251</v>
      </c>
      <c r="U206" s="63">
        <v>3</v>
      </c>
      <c r="V206" s="3" t="s">
        <v>729</v>
      </c>
      <c r="W206" s="96">
        <f>+準備!$G$28</f>
        <v>1400</v>
      </c>
      <c r="CS206" s="3" t="e">
        <f>+CS205+0.001</f>
        <v>#REF!</v>
      </c>
      <c r="CT206" s="3">
        <f>+CT207</f>
        <v>360</v>
      </c>
      <c r="CU206" s="3" t="e">
        <f>+CU205+0.001</f>
        <v>#REF!</v>
      </c>
      <c r="CV206" s="3">
        <f>+CV207</f>
        <v>360</v>
      </c>
    </row>
    <row r="207" spans="6:100" ht="15.95" hidden="1" customHeight="1" x14ac:dyDescent="0.15">
      <c r="I207" s="544">
        <v>8</v>
      </c>
      <c r="J207" s="545">
        <v>0.75</v>
      </c>
      <c r="U207" s="63">
        <v>4</v>
      </c>
      <c r="V207" s="3" t="s">
        <v>730</v>
      </c>
      <c r="W207" s="96">
        <f>+準備!$G$32</f>
        <v>1750</v>
      </c>
      <c r="CS207" s="63" t="e">
        <f>ROUNDDOWN(PI()*POWER(CT207/2/10,2)*(CT207/10-IF(CT207&lt;180,0,6))/4*IF(OR(#REF!=0,#REF!=1),1,#REF!),0)</f>
        <v>#REF!</v>
      </c>
      <c r="CT207" s="3">
        <f>+CT205+30</f>
        <v>360</v>
      </c>
      <c r="CU207" s="63" t="e">
        <f>ROUNDDOWN(PI()*POWER(CV207/2/10,3)*(CV207/10-IF(CV207&lt;180,0,6))/4*IF(OR(#REF!=0,#REF!=1),1,#REF!),0)</f>
        <v>#REF!</v>
      </c>
      <c r="CV207" s="3">
        <f>+CV205+30</f>
        <v>360</v>
      </c>
    </row>
    <row r="208" spans="6:100" ht="15.95" hidden="1" customHeight="1" x14ac:dyDescent="0.15">
      <c r="I208" s="544">
        <v>10</v>
      </c>
      <c r="J208" s="545">
        <v>0.9</v>
      </c>
      <c r="U208" s="63">
        <v>5</v>
      </c>
      <c r="V208" s="3" t="s">
        <v>731</v>
      </c>
      <c r="W208" s="96">
        <f>+準備!$G$36</f>
        <v>1750</v>
      </c>
      <c r="CS208" s="3" t="e">
        <f>+CS207+0.001</f>
        <v>#REF!</v>
      </c>
      <c r="CT208" s="3">
        <f>+CT209</f>
        <v>390</v>
      </c>
      <c r="CU208" s="3" t="e">
        <f>+CU207+0.001</f>
        <v>#REF!</v>
      </c>
      <c r="CV208" s="3">
        <f>+CV209</f>
        <v>390</v>
      </c>
    </row>
    <row r="209" spans="6:100" ht="15.95" hidden="1" customHeight="1" x14ac:dyDescent="0.15">
      <c r="I209" s="544">
        <v>12</v>
      </c>
      <c r="J209" s="546">
        <v>1</v>
      </c>
      <c r="U209" s="63">
        <v>6</v>
      </c>
      <c r="V209" s="23" t="s">
        <v>732</v>
      </c>
      <c r="W209" s="96">
        <f>+準備!$G$38</f>
        <v>400</v>
      </c>
      <c r="CS209" s="63" t="e">
        <f>ROUNDDOWN(PI()*POWER(CT209/2/10,2)*(CT209/10-IF(CT209&lt;180,0,6))/4*IF(OR(#REF!=0,#REF!=1),1,#REF!),0)</f>
        <v>#REF!</v>
      </c>
      <c r="CT209" s="3">
        <f>+CT207+30</f>
        <v>390</v>
      </c>
      <c r="CU209" s="63" t="e">
        <f>ROUNDDOWN(PI()*POWER(CV209/2/10,3)*(CV209/10-IF(CV209&lt;180,0,6))/4*IF(OR(#REF!=0,#REF!=1),1,#REF!),0)</f>
        <v>#REF!</v>
      </c>
      <c r="CV209" s="3">
        <f>+CV207+30</f>
        <v>390</v>
      </c>
    </row>
    <row r="210" spans="6:100" ht="15.95" hidden="1" customHeight="1" x14ac:dyDescent="0.15">
      <c r="CS210" s="3" t="e">
        <f>+CS209+0.001</f>
        <v>#REF!</v>
      </c>
      <c r="CT210" s="3">
        <f>+CT211</f>
        <v>420</v>
      </c>
      <c r="CU210" s="3" t="e">
        <f>+CU209+0.001</f>
        <v>#REF!</v>
      </c>
      <c r="CV210" s="3">
        <f>+CV211</f>
        <v>420</v>
      </c>
    </row>
    <row r="211" spans="6:100" ht="15.95" hidden="1" customHeight="1" x14ac:dyDescent="0.15">
      <c r="CS211" s="63" t="e">
        <f>ROUNDDOWN(PI()*POWER(CT211/2/10,2)*(CT211/10-IF(CT211&lt;180,0,6))/4*IF(OR(#REF!=0,#REF!=1),1,#REF!),0)</f>
        <v>#REF!</v>
      </c>
      <c r="CT211" s="3">
        <f>+CT209+30</f>
        <v>420</v>
      </c>
      <c r="CU211" s="63" t="e">
        <f>ROUNDDOWN(PI()*POWER(CV211/2/10,3)*(CV211/10-IF(CV211&lt;180,0,6))/4*IF(OR(#REF!=0,#REF!=1),1,#REF!),0)</f>
        <v>#REF!</v>
      </c>
      <c r="CV211" s="3">
        <f>+CV209+30</f>
        <v>420</v>
      </c>
    </row>
    <row r="212" spans="6:100" ht="15.95" hidden="1" customHeight="1" x14ac:dyDescent="0.15">
      <c r="F212" s="548" t="s">
        <v>1132</v>
      </c>
      <c r="G212" s="548">
        <v>1</v>
      </c>
      <c r="H212" s="548">
        <v>17.7</v>
      </c>
      <c r="I212" s="548">
        <v>1.8</v>
      </c>
      <c r="J212" s="548">
        <v>6</v>
      </c>
      <c r="L212" s="3" t="s">
        <v>1174</v>
      </c>
      <c r="CS212" s="3" t="e">
        <f>+CS211+0.001</f>
        <v>#REF!</v>
      </c>
      <c r="CT212" s="3">
        <f>+CT213</f>
        <v>450</v>
      </c>
      <c r="CU212" s="3" t="e">
        <f>+CU211+0.001</f>
        <v>#REF!</v>
      </c>
      <c r="CV212" s="3">
        <f>+CV213</f>
        <v>450</v>
      </c>
    </row>
    <row r="213" spans="6:100" ht="15.95" hidden="1" customHeight="1" x14ac:dyDescent="0.15">
      <c r="F213" s="548" t="s">
        <v>1150</v>
      </c>
      <c r="G213" s="548">
        <v>2</v>
      </c>
      <c r="H213" s="548">
        <v>20.7</v>
      </c>
      <c r="I213" s="548">
        <v>2.1</v>
      </c>
      <c r="J213" s="548">
        <v>7.8</v>
      </c>
      <c r="L213" s="3" t="s">
        <v>1175</v>
      </c>
      <c r="CS213" s="63" t="e">
        <f>ROUNDDOWN(PI()*POWER(CT213/2/10,2)*(CT213/10-IF(CT213&lt;180,0,6))/4*IF(OR(#REF!=0,#REF!=1),1,#REF!),0)</f>
        <v>#REF!</v>
      </c>
      <c r="CT213" s="3">
        <f>+CT211+30</f>
        <v>450</v>
      </c>
      <c r="CU213" s="63" t="e">
        <f>ROUNDDOWN(PI()*POWER(CV213/2/10,3)*(CV213/10-IF(CV213&lt;180,0,6))/4*IF(OR(#REF!=0,#REF!=1),1,#REF!),0)</f>
        <v>#REF!</v>
      </c>
      <c r="CV213" s="3">
        <f>+CV211+30</f>
        <v>450</v>
      </c>
    </row>
    <row r="214" spans="6:100" ht="15.95" hidden="1" customHeight="1" x14ac:dyDescent="0.15">
      <c r="F214" s="548" t="s">
        <v>1155</v>
      </c>
      <c r="G214" s="548">
        <v>3</v>
      </c>
      <c r="H214" s="548">
        <v>22.2</v>
      </c>
      <c r="I214" s="548">
        <v>2.4</v>
      </c>
      <c r="J214" s="548">
        <v>9</v>
      </c>
      <c r="L214" s="3" t="s">
        <v>1176</v>
      </c>
      <c r="CS214" s="3" t="e">
        <f>+CS213+0.001</f>
        <v>#REF!</v>
      </c>
      <c r="CT214" s="3">
        <f>+CT215</f>
        <v>480</v>
      </c>
      <c r="CU214" s="3" t="e">
        <f>+CU213+0.001</f>
        <v>#REF!</v>
      </c>
      <c r="CV214" s="3">
        <f>+CV215</f>
        <v>480</v>
      </c>
    </row>
    <row r="215" spans="6:100" ht="15.95" hidden="1" customHeight="1" x14ac:dyDescent="0.15">
      <c r="F215" s="548" t="s">
        <v>1156</v>
      </c>
      <c r="G215" s="548">
        <v>4</v>
      </c>
      <c r="H215" s="548">
        <v>22.2</v>
      </c>
      <c r="I215" s="548">
        <v>2.4</v>
      </c>
      <c r="J215" s="548">
        <v>9</v>
      </c>
      <c r="CS215" s="63" t="e">
        <f>ROUNDDOWN(PI()*POWER(CT215/2/10,2)*(CT215/10-IF(CT215&lt;180,0,6))/4*IF(OR(#REF!=0,#REF!=1),1,#REF!),0)</f>
        <v>#REF!</v>
      </c>
      <c r="CT215" s="3">
        <f>+CT213+30</f>
        <v>480</v>
      </c>
      <c r="CU215" s="63" t="e">
        <f>ROUNDDOWN(PI()*POWER(CV215/2/10,3)*(CV215/10-IF(CV215&lt;180,0,6))/4*IF(OR(#REF!=0,#REF!=1),1,#REF!),0)</f>
        <v>#REF!</v>
      </c>
      <c r="CV215" s="3">
        <f>+CV213+30</f>
        <v>480</v>
      </c>
    </row>
    <row r="216" spans="6:100" ht="15.95" hidden="1" customHeight="1" x14ac:dyDescent="0.15">
      <c r="F216" s="548" t="s">
        <v>1157</v>
      </c>
      <c r="G216" s="548">
        <v>5</v>
      </c>
      <c r="H216" s="548">
        <v>22.2</v>
      </c>
      <c r="I216" s="551">
        <v>2.4</v>
      </c>
      <c r="J216" s="551">
        <v>9</v>
      </c>
      <c r="CS216" s="3" t="e">
        <f>+CS215+0.001</f>
        <v>#REF!</v>
      </c>
      <c r="CT216" s="3">
        <f>+CT217</f>
        <v>510</v>
      </c>
      <c r="CU216" s="3" t="e">
        <f>+CU215+0.001</f>
        <v>#REF!</v>
      </c>
      <c r="CV216" s="3">
        <f>+CV217</f>
        <v>510</v>
      </c>
    </row>
    <row r="217" spans="6:100" ht="15.95" hidden="1" customHeight="1" x14ac:dyDescent="0.15">
      <c r="I217" s="545">
        <f>+VALUE(RIGHT(I176,4))</f>
        <v>0</v>
      </c>
      <c r="J217" s="545">
        <f t="shared" ref="J217:AC217" si="339">+VALUE(RIGHT(J176,4))</f>
        <v>0</v>
      </c>
      <c r="K217" s="545">
        <f t="shared" si="339"/>
        <v>0</v>
      </c>
      <c r="L217" s="545">
        <f t="shared" si="339"/>
        <v>0</v>
      </c>
      <c r="M217" s="545">
        <f t="shared" si="339"/>
        <v>0</v>
      </c>
      <c r="N217" s="545">
        <f t="shared" si="339"/>
        <v>0</v>
      </c>
      <c r="O217" s="545">
        <f t="shared" si="339"/>
        <v>0</v>
      </c>
      <c r="P217" s="545">
        <f t="shared" si="339"/>
        <v>0</v>
      </c>
      <c r="Q217" s="545">
        <f t="shared" si="339"/>
        <v>0</v>
      </c>
      <c r="R217" s="545">
        <f t="shared" si="339"/>
        <v>0</v>
      </c>
      <c r="S217" s="545">
        <f t="shared" si="339"/>
        <v>0</v>
      </c>
      <c r="T217" s="545">
        <f t="shared" si="339"/>
        <v>0</v>
      </c>
      <c r="U217" s="545">
        <f t="shared" si="339"/>
        <v>0</v>
      </c>
      <c r="V217" s="545">
        <f t="shared" si="339"/>
        <v>0</v>
      </c>
      <c r="W217" s="545">
        <f t="shared" si="339"/>
        <v>0</v>
      </c>
      <c r="X217" s="545">
        <f t="shared" si="339"/>
        <v>0</v>
      </c>
      <c r="Y217" s="545">
        <f t="shared" si="339"/>
        <v>0</v>
      </c>
      <c r="Z217" s="545">
        <f t="shared" si="339"/>
        <v>0</v>
      </c>
      <c r="AA217" s="545">
        <f t="shared" si="339"/>
        <v>0</v>
      </c>
      <c r="AB217" s="545">
        <f t="shared" si="339"/>
        <v>0</v>
      </c>
      <c r="AC217" s="545">
        <f t="shared" si="339"/>
        <v>0</v>
      </c>
      <c r="CS217" s="63" t="e">
        <f>ROUNDDOWN(PI()*POWER(CT217/2/10,2)*(CT217/10-IF(CT217&lt;180,0,6))/4*IF(OR(#REF!=0,#REF!=1),1,#REF!),0)</f>
        <v>#REF!</v>
      </c>
      <c r="CT217" s="3">
        <f>+CT215+30</f>
        <v>510</v>
      </c>
      <c r="CU217" s="63" t="e">
        <f>ROUNDDOWN(PI()*POWER(CV217/2/10,3)*(CV217/10-IF(CV217&lt;180,0,6))/4*IF(OR(#REF!=0,#REF!=1),1,#REF!),0)</f>
        <v>#REF!</v>
      </c>
      <c r="CV217" s="3">
        <f>+CV215+30</f>
        <v>510</v>
      </c>
    </row>
    <row r="218" spans="6:100" ht="15.95" hidden="1" customHeight="1" x14ac:dyDescent="0.15">
      <c r="CS218" s="3" t="e">
        <f>+CS217+0.001</f>
        <v>#REF!</v>
      </c>
      <c r="CT218" s="3">
        <f>+CT219</f>
        <v>540</v>
      </c>
      <c r="CU218" s="3" t="e">
        <f>+CU217+0.001</f>
        <v>#REF!</v>
      </c>
      <c r="CV218" s="3">
        <f>+CV219</f>
        <v>540</v>
      </c>
    </row>
    <row r="219" spans="6:100" ht="15.95" customHeight="1" x14ac:dyDescent="0.15">
      <c r="CS219" s="63" t="e">
        <f>ROUNDDOWN(PI()*POWER(CT219/2/10,2)*(CT219/10-IF(CT219&lt;180,0,6))/4*IF(OR(#REF!=0,#REF!=1),1,#REF!),0)</f>
        <v>#REF!</v>
      </c>
      <c r="CT219" s="3">
        <f>+CT217+30</f>
        <v>540</v>
      </c>
      <c r="CU219" s="63" t="e">
        <f>ROUNDDOWN(PI()*POWER(CV219/2/10,3)*(CV219/10-IF(CV219&lt;180,0,6))/4*IF(OR(#REF!=0,#REF!=1),1,#REF!),0)</f>
        <v>#REF!</v>
      </c>
      <c r="CV219" s="3">
        <f>+CV217+30</f>
        <v>540</v>
      </c>
    </row>
    <row r="220" spans="6:100" ht="15.95" customHeight="1" x14ac:dyDescent="0.15">
      <c r="CS220" s="3" t="e">
        <f>+CS219+0.001</f>
        <v>#REF!</v>
      </c>
      <c r="CT220" s="3">
        <f>+CT221</f>
        <v>570</v>
      </c>
      <c r="CU220" s="3" t="e">
        <f>+CU219+0.001</f>
        <v>#REF!</v>
      </c>
      <c r="CV220" s="3">
        <f>+CV221</f>
        <v>570</v>
      </c>
    </row>
    <row r="221" spans="6:100" ht="15.95" customHeight="1" x14ac:dyDescent="0.15">
      <c r="CS221" s="63" t="e">
        <f>ROUNDDOWN(PI()*POWER(CT221/2/10,2)*(CT221/10-IF(CT221&lt;180,0,6))/4*IF(OR(#REF!=0,#REF!=1),1,#REF!),0)</f>
        <v>#REF!</v>
      </c>
      <c r="CT221" s="3">
        <f>+CT219+30</f>
        <v>570</v>
      </c>
      <c r="CU221" s="63" t="e">
        <f>ROUNDDOWN(PI()*POWER(CV221/2/10,3)*(CV221/10-IF(CV221&lt;180,0,6))/4*IF(OR(#REF!=0,#REF!=1),1,#REF!),0)</f>
        <v>#REF!</v>
      </c>
      <c r="CV221" s="3">
        <f>+CV219+30</f>
        <v>570</v>
      </c>
    </row>
    <row r="222" spans="6:100" ht="15.95" customHeight="1" x14ac:dyDescent="0.15">
      <c r="CS222" s="3" t="e">
        <f>+CS221+0.001</f>
        <v>#REF!</v>
      </c>
      <c r="CT222" s="3">
        <f>+CT223</f>
        <v>600</v>
      </c>
      <c r="CU222" s="3" t="e">
        <f>+CU221+0.001</f>
        <v>#REF!</v>
      </c>
      <c r="CV222" s="3">
        <f>+CV223</f>
        <v>600</v>
      </c>
    </row>
    <row r="223" spans="6:100" ht="15.95" customHeight="1" x14ac:dyDescent="0.15">
      <c r="CS223" s="63" t="e">
        <f>ROUNDDOWN(PI()*POWER(CT223/2/10,2)*(CT223/10-IF(CT223&lt;180,0,6))/4*IF(OR(#REF!=0,#REF!=1),1,#REF!),0)</f>
        <v>#REF!</v>
      </c>
      <c r="CT223" s="3">
        <f>+CT221+30</f>
        <v>600</v>
      </c>
      <c r="CU223" s="63" t="e">
        <f>ROUNDDOWN(PI()*POWER(CV223/2/10,3)*(CV223/10-IF(CV223&lt;180,0,6))/4*IF(OR(#REF!=0,#REF!=1),1,#REF!),0)</f>
        <v>#REF!</v>
      </c>
      <c r="CV223" s="3">
        <f>+CV221+30</f>
        <v>600</v>
      </c>
    </row>
    <row r="224" spans="6:100" ht="15.95" customHeight="1" x14ac:dyDescent="0.15">
      <c r="CS224" s="3" t="e">
        <f>+CS223+0.001</f>
        <v>#REF!</v>
      </c>
      <c r="CT224" s="3">
        <f>+CT225</f>
        <v>630</v>
      </c>
      <c r="CU224" s="3" t="e">
        <f>+CU223+0.001</f>
        <v>#REF!</v>
      </c>
      <c r="CV224" s="3">
        <f>+CV225</f>
        <v>630</v>
      </c>
    </row>
    <row r="225" spans="97:100" x14ac:dyDescent="0.15">
      <c r="CS225" s="63" t="e">
        <f>ROUNDDOWN(PI()*POWER(CT225/2/10,2)*(CT225/10-IF(CT225&lt;180,0,6))/4*IF(OR(#REF!=0,#REF!=1),1,#REF!),0)</f>
        <v>#REF!</v>
      </c>
      <c r="CT225" s="3">
        <f>+CT223+30</f>
        <v>630</v>
      </c>
      <c r="CU225" s="63" t="e">
        <f>ROUNDDOWN(PI()*POWER(CV225/2/10,3)*(CV225/10-IF(CV225&lt;180,0,6))/4*IF(OR(#REF!=0,#REF!=1),1,#REF!),0)</f>
        <v>#REF!</v>
      </c>
      <c r="CV225" s="3">
        <f>+CV223+30</f>
        <v>630</v>
      </c>
    </row>
    <row r="226" spans="97:100" x14ac:dyDescent="0.15">
      <c r="CS226" s="3" t="e">
        <f>+CS225+0.001</f>
        <v>#REF!</v>
      </c>
      <c r="CT226" s="3">
        <v>0</v>
      </c>
      <c r="CU226" s="3" t="e">
        <f>+CU225+0.001</f>
        <v>#REF!</v>
      </c>
      <c r="CV226" s="3">
        <v>0</v>
      </c>
    </row>
    <row r="228" spans="97:100" x14ac:dyDescent="0.15">
      <c r="CS228" s="63">
        <f>ROUNDDOWN(PI()*POWER(CT228/2/10,2)*(CT228/10-IF(CT228&lt;180,0,6))/4*IF(OR($S$99=0,$S$99=1),1,$S$99),0)</f>
        <v>42</v>
      </c>
      <c r="CT228" s="3">
        <v>60</v>
      </c>
      <c r="CU228" s="63">
        <f>ROUNDDOWN(PI()*POWER(CV228/2/10,3)*(CV228/10-IF(CV228&lt;180,0,6))/4*IF(OR($S$99=0,$S$99=1),1,$S$99),0)</f>
        <v>127</v>
      </c>
      <c r="CV228" s="3">
        <v>60</v>
      </c>
    </row>
    <row r="229" spans="97:100" x14ac:dyDescent="0.15">
      <c r="CS229" s="3">
        <f>+CS228+0.001</f>
        <v>42.000999999999998</v>
      </c>
      <c r="CT229" s="3">
        <v>75</v>
      </c>
      <c r="CU229" s="3">
        <f>+CU228+0.001</f>
        <v>127.001</v>
      </c>
      <c r="CV229" s="3">
        <v>75</v>
      </c>
    </row>
    <row r="230" spans="97:100" x14ac:dyDescent="0.15">
      <c r="CS230" s="63">
        <f>ROUNDDOWN(PI()*POWER(CT230/2/10,2)*(CT230/10-IF(CT230&lt;180,0,6))/4*IF(OR($S$99=0,$S$99=1),1,$S$99),0)</f>
        <v>82</v>
      </c>
      <c r="CT230" s="3">
        <v>75</v>
      </c>
      <c r="CU230" s="63">
        <f>ROUNDDOWN(PI()*POWER(CV230/2/10,3)*(CV230/10-IF(CV230&lt;180,0,6))/4*IF(OR($S$99=0,$S$99=1),1,$S$99),0)</f>
        <v>310</v>
      </c>
      <c r="CV230" s="3">
        <v>75</v>
      </c>
    </row>
    <row r="231" spans="97:100" x14ac:dyDescent="0.15">
      <c r="CS231" s="3">
        <f>+CS230+0.001</f>
        <v>82.001000000000005</v>
      </c>
      <c r="CT231" s="3">
        <v>90</v>
      </c>
      <c r="CU231" s="3">
        <f>+CU230+0.001</f>
        <v>310.00099999999998</v>
      </c>
      <c r="CV231" s="3">
        <v>90</v>
      </c>
    </row>
    <row r="232" spans="97:100" x14ac:dyDescent="0.15">
      <c r="CS232" s="63">
        <f>ROUNDDOWN(PI()*POWER(CT232/2/10,2)*(CT232/10-IF(CT232&lt;180,0,6))/4*IF(OR($S$99=0,$S$99=1),1,$S$99),0)</f>
        <v>143</v>
      </c>
      <c r="CT232" s="3">
        <v>90</v>
      </c>
      <c r="CU232" s="63">
        <f>ROUNDDOWN(PI()*POWER(CV232/2/10,3)*(CV232/10-IF(CV232&lt;180,0,6))/4*IF(OR($S$99=0,$S$99=1),1,$S$99),0)</f>
        <v>644</v>
      </c>
      <c r="CV232" s="3">
        <v>90</v>
      </c>
    </row>
    <row r="233" spans="97:100" x14ac:dyDescent="0.15">
      <c r="CS233" s="3">
        <f>+CS232+0.001</f>
        <v>143.001</v>
      </c>
      <c r="CT233" s="3">
        <v>105</v>
      </c>
      <c r="CU233" s="3">
        <f>+CU232+0.001</f>
        <v>644.00099999999998</v>
      </c>
      <c r="CV233" s="3">
        <v>105</v>
      </c>
    </row>
    <row r="234" spans="97:100" x14ac:dyDescent="0.15">
      <c r="CS234" s="63">
        <f>ROUNDDOWN(PI()*POWER(CT234/2/10,2)*(CT234/10-IF(CT234&lt;180,0,6))/4*IF(OR($S$99=0,$S$99=1),1,$S$99),0)</f>
        <v>227</v>
      </c>
      <c r="CT234" s="3">
        <v>105</v>
      </c>
      <c r="CU234" s="63">
        <f>ROUNDDOWN(PI()*POWER(CV234/2/10,3)*(CV234/10-IF(CV234&lt;180,0,6))/4*IF(OR($S$99=0,$S$99=1),1,$S$99),0)</f>
        <v>1193</v>
      </c>
      <c r="CV234" s="3">
        <v>105</v>
      </c>
    </row>
    <row r="235" spans="97:100" x14ac:dyDescent="0.15">
      <c r="CS235" s="3">
        <f>+CS234+0.001</f>
        <v>227.001</v>
      </c>
      <c r="CT235" s="3">
        <v>120</v>
      </c>
      <c r="CU235" s="3">
        <f>+CU234+0.001</f>
        <v>1193.001</v>
      </c>
      <c r="CV235" s="3">
        <v>120</v>
      </c>
    </row>
    <row r="236" spans="97:100" x14ac:dyDescent="0.15">
      <c r="CS236" s="63">
        <f>ROUNDDOWN(PI()*POWER(CT236/2/10,2)*(CT236/10-IF(CT236&lt;180,0,6))/4*IF(OR($S$99=0,$S$99=1),1,$S$99),0)</f>
        <v>339</v>
      </c>
      <c r="CT236" s="3">
        <v>120</v>
      </c>
      <c r="CU236" s="63">
        <f>ROUNDDOWN(PI()*POWER(CV236/2/10,3)*(CV236/10-IF(CV236&lt;180,0,6))/4*IF(OR($S$99=0,$S$99=1),1,$S$99),0)</f>
        <v>2035</v>
      </c>
      <c r="CV236" s="3">
        <v>120</v>
      </c>
    </row>
    <row r="237" spans="97:100" ht="14.25" customHeight="1" x14ac:dyDescent="0.15">
      <c r="CS237" s="3">
        <f>+CS236+0.001</f>
        <v>339.00099999999998</v>
      </c>
      <c r="CT237" s="3">
        <v>135</v>
      </c>
      <c r="CU237" s="3">
        <f>+CU236+0.001</f>
        <v>2035.001</v>
      </c>
      <c r="CV237" s="3">
        <v>135</v>
      </c>
    </row>
    <row r="238" spans="97:100" ht="14.25" customHeight="1" x14ac:dyDescent="0.15">
      <c r="CS238" s="63">
        <f>ROUNDDOWN(PI()*POWER(CT238/2/10,2)*(CT238/10-IF(CT238&lt;180,0,6))/4*IF(OR($S$99=0,$S$99=1),1,$S$99),0)</f>
        <v>483</v>
      </c>
      <c r="CT238" s="3">
        <v>135</v>
      </c>
      <c r="CU238" s="63">
        <f>ROUNDDOWN(PI()*POWER(CV238/2/10,3)*(CV238/10-IF(CV238&lt;180,0,6))/4*IF(OR($S$99=0,$S$99=1),1,$S$99),0)</f>
        <v>3260</v>
      </c>
      <c r="CV238" s="3">
        <v>135</v>
      </c>
    </row>
    <row r="239" spans="97:100" ht="14.25" customHeight="1" x14ac:dyDescent="0.15">
      <c r="CS239" s="3">
        <f>+CS238+0.001</f>
        <v>483.00099999999998</v>
      </c>
      <c r="CT239" s="3">
        <v>150</v>
      </c>
      <c r="CU239" s="3">
        <f>+CU238+0.001</f>
        <v>3260.0010000000002</v>
      </c>
      <c r="CV239" s="3">
        <v>150</v>
      </c>
    </row>
    <row r="240" spans="97:100" ht="14.25" customHeight="1" x14ac:dyDescent="0.15">
      <c r="CS240" s="63">
        <f>ROUNDDOWN(PI()*POWER(CT240/2/10,2)*(CT240/10-IF(CT240&lt;180,0,6))/4*IF(OR($S$99=0,$S$99=1),1,$S$99),0)</f>
        <v>662</v>
      </c>
      <c r="CT240" s="3">
        <v>150</v>
      </c>
      <c r="CU240" s="63">
        <f>ROUNDDOWN(PI()*POWER(CV240/2/10,3)*(CV240/10-IF(CV240&lt;180,0,6))/4*IF(OR($S$99=0,$S$99=1),1,$S$99),0)</f>
        <v>4970</v>
      </c>
      <c r="CV240" s="3">
        <v>150</v>
      </c>
    </row>
    <row r="241" spans="97:100" ht="14.25" customHeight="1" x14ac:dyDescent="0.15">
      <c r="CS241" s="3">
        <f>+CS240+0.001</f>
        <v>662.00099999999998</v>
      </c>
      <c r="CT241" s="3">
        <v>180</v>
      </c>
      <c r="CU241" s="3">
        <f>+CU240+0.001</f>
        <v>4970.0010000000002</v>
      </c>
      <c r="CV241" s="3">
        <v>180</v>
      </c>
    </row>
    <row r="242" spans="97:100" ht="14.25" customHeight="1" x14ac:dyDescent="0.15">
      <c r="CS242" s="63">
        <f>ROUNDDOWN(PI()*POWER(CT242/2/10,2)*(CT242/10-IF(CT242&lt;180,0,6))/4*IF(OR($S$99=0,$S$99=1),1,$S$99),0)</f>
        <v>763</v>
      </c>
      <c r="CT242" s="3">
        <v>180</v>
      </c>
      <c r="CU242" s="63">
        <f>ROUNDDOWN(PI()*POWER(CV242/2/10,3)*(CV242/10-IF(CV242&lt;180,0,6))/4*IF(OR($S$99=0,$S$99=1),1,$S$99),0)</f>
        <v>6870</v>
      </c>
      <c r="CV242" s="3">
        <v>180</v>
      </c>
    </row>
    <row r="243" spans="97:100" ht="14.25" customHeight="1" x14ac:dyDescent="0.15">
      <c r="CS243" s="3">
        <f>+CS242+0.001</f>
        <v>763.00099999999998</v>
      </c>
      <c r="CT243" s="3">
        <v>210</v>
      </c>
      <c r="CU243" s="3">
        <f>+CU242+0.001</f>
        <v>6870.0010000000002</v>
      </c>
      <c r="CV243" s="3">
        <v>210</v>
      </c>
    </row>
    <row r="244" spans="97:100" ht="14.25" customHeight="1" x14ac:dyDescent="0.15">
      <c r="CS244" s="63">
        <f>ROUNDDOWN(PI()*POWER(CT244/2/10,2)*(CT244/10-IF(CT244&lt;180,0,6))/4*IF(OR($S$99=0,$S$99=1),1,$S$99),0)</f>
        <v>1298</v>
      </c>
      <c r="CT244" s="3">
        <v>210</v>
      </c>
      <c r="CU244" s="63">
        <f>ROUNDDOWN(PI()*POWER(CV244/2/10,3)*(CV244/10-IF(CV244&lt;180,0,6))/4*IF(OR($S$99=0,$S$99=1),1,$S$99),0)</f>
        <v>13637</v>
      </c>
      <c r="CV244" s="3">
        <v>210</v>
      </c>
    </row>
    <row r="245" spans="97:100" ht="14.25" customHeight="1" x14ac:dyDescent="0.15">
      <c r="CS245" s="3">
        <f>+CS244+0.001</f>
        <v>1298.001</v>
      </c>
      <c r="CT245" s="3">
        <v>240</v>
      </c>
      <c r="CU245" s="3">
        <f>+CU244+0.001</f>
        <v>13637.001</v>
      </c>
      <c r="CV245" s="3">
        <v>240</v>
      </c>
    </row>
    <row r="246" spans="97:100" ht="14.25" customHeight="1" x14ac:dyDescent="0.15">
      <c r="CS246" s="63">
        <f>ROUNDDOWN(PI()*POWER(CT246/2/10,2)*(CT246/10-IF(CT246&lt;180,0,6))/4*IF(OR($S$99=0,$S$99=1),1,$S$99),0)</f>
        <v>2035</v>
      </c>
      <c r="CT246" s="3">
        <f>+CT244+30</f>
        <v>240</v>
      </c>
      <c r="CU246" s="63">
        <f>ROUNDDOWN(PI()*POWER(CV246/2/10,3)*(CV246/10-IF(CV246&lt;180,0,6))/4*IF(OR($S$99=0,$S$99=1),1,$S$99),0)</f>
        <v>24429</v>
      </c>
      <c r="CV246" s="3">
        <f>+CV244+30</f>
        <v>240</v>
      </c>
    </row>
    <row r="247" spans="97:100" ht="14.25" customHeight="1" x14ac:dyDescent="0.15">
      <c r="CS247" s="3">
        <f>+CS246+0.001</f>
        <v>2035.001</v>
      </c>
      <c r="CT247" s="3">
        <v>270</v>
      </c>
      <c r="CU247" s="3">
        <f>+CU246+0.001</f>
        <v>24429.001</v>
      </c>
      <c r="CV247" s="3">
        <v>270</v>
      </c>
    </row>
    <row r="248" spans="97:100" ht="14.25" customHeight="1" x14ac:dyDescent="0.15">
      <c r="CS248" s="63">
        <f>ROUNDDOWN(PI()*POWER(CT248/2/10,2)*(CT248/10-IF(CT248&lt;180,0,6))/4*IF(OR($S$99=0,$S$99=1),1,$S$99),0)</f>
        <v>3005</v>
      </c>
      <c r="CT248" s="3">
        <f>+CT246+30</f>
        <v>270</v>
      </c>
      <c r="CU248" s="63">
        <f>ROUNDDOWN(PI()*POWER(CV248/2/10,3)*(CV248/10-IF(CV248&lt;180,0,6))/4*IF(OR($S$99=0,$S$99=1),1,$S$99),0)</f>
        <v>40579</v>
      </c>
      <c r="CV248" s="3">
        <f>+CV246+30</f>
        <v>270</v>
      </c>
    </row>
    <row r="249" spans="97:100" ht="14.25" customHeight="1" x14ac:dyDescent="0.15">
      <c r="CS249" s="3">
        <f>+CS248+0.001</f>
        <v>3005.0010000000002</v>
      </c>
      <c r="CT249" s="3">
        <v>300</v>
      </c>
      <c r="CU249" s="3">
        <f>+CU248+0.001</f>
        <v>40579.000999999997</v>
      </c>
      <c r="CV249" s="3">
        <v>300</v>
      </c>
    </row>
    <row r="250" spans="97:100" ht="14.25" customHeight="1" x14ac:dyDescent="0.15">
      <c r="CS250" s="63">
        <f>ROUNDDOWN(PI()*POWER(CT250/2/10,2)*(CT250/10-IF(CT250&lt;180,0,6))/4*IF(OR($S$99=0,$S$99=1),1,$S$99),0)</f>
        <v>4241</v>
      </c>
      <c r="CT250" s="3">
        <f>+CT248+30</f>
        <v>300</v>
      </c>
      <c r="CU250" s="63">
        <f>ROUNDDOWN(PI()*POWER(CV250/2/10,3)*(CV250/10-IF(CV250&lt;180,0,6))/4*IF(OR($S$99=0,$S$99=1),1,$S$99),0)</f>
        <v>63617</v>
      </c>
      <c r="CV250" s="3">
        <f>+CV248+30</f>
        <v>300</v>
      </c>
    </row>
    <row r="251" spans="97:100" ht="14.25" customHeight="1" x14ac:dyDescent="0.15">
      <c r="CS251" s="3">
        <f>+CS250+0.001</f>
        <v>4241.0010000000002</v>
      </c>
      <c r="CT251" s="3">
        <v>330</v>
      </c>
      <c r="CU251" s="3">
        <f>+CU250+0.001</f>
        <v>63617.000999999997</v>
      </c>
      <c r="CV251" s="3">
        <v>330</v>
      </c>
    </row>
    <row r="252" spans="97:100" ht="14.25" customHeight="1" x14ac:dyDescent="0.15">
      <c r="CS252" s="63">
        <f>ROUNDDOWN(PI()*POWER(CT252/2/10,2)*(CT252/10-IF(CT252&lt;180,0,6))/4*IF(OR($S$99=0,$S$99=1),1,$S$99),0)</f>
        <v>5773</v>
      </c>
      <c r="CT252" s="3">
        <f>+CT250+30</f>
        <v>330</v>
      </c>
      <c r="CU252" s="63">
        <f>ROUNDDOWN(PI()*POWER(CV252/2/10,3)*(CV252/10-IF(CV252&lt;180,0,6))/4*IF(OR($S$99=0,$S$99=1),1,$S$99),0)</f>
        <v>95258</v>
      </c>
      <c r="CV252" s="3">
        <f>+CV250+30</f>
        <v>330</v>
      </c>
    </row>
    <row r="253" spans="97:100" ht="14.25" customHeight="1" x14ac:dyDescent="0.15">
      <c r="CS253" s="3">
        <f>+CS252+0.001</f>
        <v>5773.0010000000002</v>
      </c>
      <c r="CT253" s="3">
        <f>+CT254</f>
        <v>360</v>
      </c>
      <c r="CU253" s="3">
        <f>+CU252+0.001</f>
        <v>95258.001000000004</v>
      </c>
      <c r="CV253" s="3">
        <f>+CV254</f>
        <v>360</v>
      </c>
    </row>
    <row r="254" spans="97:100" x14ac:dyDescent="0.15">
      <c r="CS254" s="63">
        <f>ROUNDDOWN(PI()*POWER(CT254/2/10,2)*(CT254/10-IF(CT254&lt;180,0,6))/4*IF(OR($S$99=0,$S$99=1),1,$S$99),0)</f>
        <v>7634</v>
      </c>
      <c r="CT254" s="3">
        <f>+CT252+30</f>
        <v>360</v>
      </c>
      <c r="CU254" s="63">
        <f>ROUNDDOWN(PI()*POWER(CV254/2/10,3)*(CV254/10-IF(CV254&lt;180,0,6))/4*IF(OR($S$99=0,$S$99=1),1,$S$99),0)</f>
        <v>137413</v>
      </c>
      <c r="CV254" s="3">
        <f>+CV252+30</f>
        <v>360</v>
      </c>
    </row>
    <row r="255" spans="97:100" x14ac:dyDescent="0.15">
      <c r="CS255" s="3">
        <f>+CS254+0.001</f>
        <v>7634.0010000000002</v>
      </c>
      <c r="CT255" s="3">
        <f>+CT256</f>
        <v>390</v>
      </c>
      <c r="CU255" s="3">
        <f>+CU254+0.001</f>
        <v>137413.00099999999</v>
      </c>
      <c r="CV255" s="3">
        <f>+CV256</f>
        <v>390</v>
      </c>
    </row>
    <row r="256" spans="97:100" x14ac:dyDescent="0.15">
      <c r="CS256" s="63">
        <f>ROUNDDOWN(PI()*POWER(CT256/2/10,2)*(CT256/10-IF(CT256&lt;180,0,6))/4*IF(OR($S$99=0,$S$99=1),1,$S$99),0)</f>
        <v>9855</v>
      </c>
      <c r="CT256" s="3">
        <f>+CT254+30</f>
        <v>390</v>
      </c>
      <c r="CU256" s="63">
        <f>ROUNDDOWN(PI()*POWER(CV256/2/10,3)*(CV256/10-IF(CV256&lt;180,0,6))/4*IF(OR($S$99=0,$S$99=1),1,$S$99),0)</f>
        <v>192179</v>
      </c>
      <c r="CV256" s="3">
        <f>+CV254+30</f>
        <v>390</v>
      </c>
    </row>
    <row r="257" spans="97:100" x14ac:dyDescent="0.15">
      <c r="CS257" s="3">
        <f>+CS256+0.001</f>
        <v>9855.0010000000002</v>
      </c>
      <c r="CT257" s="3">
        <f>+CT258</f>
        <v>420</v>
      </c>
      <c r="CU257" s="3">
        <f>+CU256+0.001</f>
        <v>192179.00099999999</v>
      </c>
      <c r="CV257" s="3">
        <f>+CV258</f>
        <v>420</v>
      </c>
    </row>
    <row r="258" spans="97:100" x14ac:dyDescent="0.15">
      <c r="CS258" s="63">
        <f>ROUNDDOWN(PI()*POWER(CT258/2/10,2)*(CT258/10-IF(CT258&lt;180,0,6))/4*IF(OR($S$99=0,$S$99=1),1,$S$99),0)</f>
        <v>12468</v>
      </c>
      <c r="CT258" s="3">
        <f>+CT256+30</f>
        <v>420</v>
      </c>
      <c r="CU258" s="63">
        <f>ROUNDDOWN(PI()*POWER(CV258/2/10,3)*(CV258/10-IF(CV258&lt;180,0,6))/4*IF(OR($S$99=0,$S$99=1),1,$S$99),0)</f>
        <v>261848</v>
      </c>
      <c r="CV258" s="3">
        <f>+CV256+30</f>
        <v>420</v>
      </c>
    </row>
    <row r="259" spans="97:100" x14ac:dyDescent="0.15">
      <c r="CS259" s="3">
        <f>+CS258+0.001</f>
        <v>12468.001</v>
      </c>
      <c r="CT259" s="3">
        <f>+CT260</f>
        <v>450</v>
      </c>
      <c r="CU259" s="3">
        <f>+CU258+0.001</f>
        <v>261848.00099999999</v>
      </c>
      <c r="CV259" s="3">
        <f>+CV260</f>
        <v>450</v>
      </c>
    </row>
    <row r="260" spans="97:100" x14ac:dyDescent="0.15">
      <c r="CS260" s="63">
        <f>ROUNDDOWN(PI()*POWER(CT260/2/10,2)*(CT260/10-IF(CT260&lt;180,0,6))/4*IF(OR($S$99=0,$S$99=1),1,$S$99),0)</f>
        <v>15506</v>
      </c>
      <c r="CT260" s="3">
        <f>+CT258+30</f>
        <v>450</v>
      </c>
      <c r="CU260" s="63">
        <f>ROUNDDOWN(PI()*POWER(CV260/2/10,3)*(CV260/10-IF(CV260&lt;180,0,6))/4*IF(OR($S$99=0,$S$99=1),1,$S$99),0)</f>
        <v>348900</v>
      </c>
      <c r="CV260" s="3">
        <f>+CV258+30</f>
        <v>450</v>
      </c>
    </row>
    <row r="261" spans="97:100" x14ac:dyDescent="0.15">
      <c r="CS261" s="3">
        <f>+CS260+0.001</f>
        <v>15506.001</v>
      </c>
      <c r="CT261" s="3">
        <f>+CT262</f>
        <v>480</v>
      </c>
      <c r="CU261" s="3">
        <f>+CU260+0.001</f>
        <v>348900.00099999999</v>
      </c>
      <c r="CV261" s="3">
        <f>+CV262</f>
        <v>480</v>
      </c>
    </row>
    <row r="262" spans="97:100" x14ac:dyDescent="0.15">
      <c r="CS262" s="63">
        <f>ROUNDDOWN(PI()*POWER(CT262/2/10,2)*(CT262/10-IF(CT262&lt;180,0,6))/4*IF(OR($S$99=0,$S$99=1),1,$S$99),0)</f>
        <v>19000</v>
      </c>
      <c r="CT262" s="3">
        <f>+CT260+30</f>
        <v>480</v>
      </c>
      <c r="CU262" s="63">
        <f>ROUNDDOWN(PI()*POWER(CV262/2/10,3)*(CV262/10-IF(CV262&lt;180,0,6))/4*IF(OR($S$99=0,$S$99=1),1,$S$99),0)</f>
        <v>456008</v>
      </c>
      <c r="CV262" s="3">
        <f>+CV260+30</f>
        <v>480</v>
      </c>
    </row>
    <row r="263" spans="97:100" x14ac:dyDescent="0.15">
      <c r="CS263" s="3">
        <f>+CS262+0.001</f>
        <v>19000.001</v>
      </c>
      <c r="CT263" s="3">
        <f>+CT264</f>
        <v>510</v>
      </c>
      <c r="CU263" s="3">
        <f>+CU262+0.001</f>
        <v>456008.00099999999</v>
      </c>
      <c r="CV263" s="3">
        <f>+CV264</f>
        <v>510</v>
      </c>
    </row>
    <row r="264" spans="97:100" x14ac:dyDescent="0.15">
      <c r="CS264" s="63">
        <f>ROUNDDOWN(PI()*POWER(CT264/2/10,2)*(CT264/10-IF(CT264&lt;180,0,6))/4*IF(OR($S$99=0,$S$99=1),1,$S$99),0)</f>
        <v>22981</v>
      </c>
      <c r="CT264" s="3">
        <f>+CT262+30</f>
        <v>510</v>
      </c>
      <c r="CU264" s="63">
        <f>ROUNDDOWN(PI()*POWER(CV264/2/10,3)*(CV264/10-IF(CV264&lt;180,0,6))/4*IF(OR($S$99=0,$S$99=1),1,$S$99),0)</f>
        <v>586034</v>
      </c>
      <c r="CV264" s="3">
        <f>+CV262+30</f>
        <v>510</v>
      </c>
    </row>
    <row r="265" spans="97:100" x14ac:dyDescent="0.15">
      <c r="CS265" s="3">
        <f>+CS264+0.001</f>
        <v>22981.001</v>
      </c>
      <c r="CT265" s="3">
        <f>+CT266</f>
        <v>540</v>
      </c>
      <c r="CU265" s="3">
        <f>+CU264+0.001</f>
        <v>586034.00100000005</v>
      </c>
      <c r="CV265" s="3">
        <f>+CV266</f>
        <v>540</v>
      </c>
    </row>
    <row r="266" spans="97:100" x14ac:dyDescent="0.15">
      <c r="CS266" s="63">
        <f>ROUNDDOWN(PI()*POWER(CT266/2/10,2)*(CT266/10-IF(CT266&lt;180,0,6))/4*IF(OR($S$99=0,$S$99=1),1,$S$99),0)</f>
        <v>27482</v>
      </c>
      <c r="CT266" s="3">
        <f>+CT264+30</f>
        <v>540</v>
      </c>
      <c r="CU266" s="63">
        <f>ROUNDDOWN(PI()*POWER(CV266/2/10,3)*(CV266/10-IF(CV266&lt;180,0,6))/4*IF(OR($S$99=0,$S$99=1),1,$S$99),0)</f>
        <v>742031</v>
      </c>
      <c r="CV266" s="3">
        <f>+CV264+30</f>
        <v>540</v>
      </c>
    </row>
    <row r="267" spans="97:100" x14ac:dyDescent="0.15">
      <c r="CS267" s="3">
        <f>+CS266+0.001</f>
        <v>27482.001</v>
      </c>
      <c r="CT267" s="3">
        <f>+CT268</f>
        <v>570</v>
      </c>
      <c r="CU267" s="3">
        <f>+CU266+0.001</f>
        <v>742031.00100000005</v>
      </c>
      <c r="CV267" s="3">
        <f>+CV268</f>
        <v>570</v>
      </c>
    </row>
    <row r="268" spans="97:100" x14ac:dyDescent="0.15">
      <c r="CS268" s="63">
        <f>ROUNDDOWN(PI()*POWER(CT268/2/10,2)*(CT268/10-IF(CT268&lt;180,0,6))/4*IF(OR($S$99=0,$S$99=1),1,$S$99),0)</f>
        <v>32534</v>
      </c>
      <c r="CT268" s="3">
        <f>+CT266+30</f>
        <v>570</v>
      </c>
      <c r="CU268" s="63">
        <f>ROUNDDOWN(PI()*POWER(CV268/2/10,3)*(CV268/10-IF(CV268&lt;180,0,6))/4*IF(OR($S$99=0,$S$99=1),1,$S$99),0)</f>
        <v>927245</v>
      </c>
      <c r="CV268" s="3">
        <f>+CV266+30</f>
        <v>570</v>
      </c>
    </row>
    <row r="269" spans="97:100" x14ac:dyDescent="0.15">
      <c r="CS269" s="3">
        <f>+CS268+0.001</f>
        <v>32534.001</v>
      </c>
      <c r="CT269" s="3">
        <f>+CT270</f>
        <v>600</v>
      </c>
      <c r="CU269" s="3">
        <f>+CU268+0.001</f>
        <v>927245.00100000005</v>
      </c>
      <c r="CV269" s="3">
        <f>+CV270</f>
        <v>600</v>
      </c>
    </row>
    <row r="270" spans="97:100" x14ac:dyDescent="0.15">
      <c r="CS270" s="63">
        <f>ROUNDDOWN(PI()*POWER(CT270/2/10,2)*(CT270/10-IF(CT270&lt;180,0,6))/4*IF(OR($S$99=0,$S$99=1),1,$S$99),0)</f>
        <v>38170</v>
      </c>
      <c r="CT270" s="3">
        <f>+CT268+30</f>
        <v>600</v>
      </c>
      <c r="CU270" s="63">
        <f>ROUNDDOWN(PI()*POWER(CV270/2/10,3)*(CV270/10-IF(CV270&lt;180,0,6))/4*IF(OR($S$99=0,$S$99=1),1,$S$99),0)</f>
        <v>1145110</v>
      </c>
      <c r="CV270" s="3">
        <f>+CV268+30</f>
        <v>600</v>
      </c>
    </row>
    <row r="271" spans="97:100" x14ac:dyDescent="0.15">
      <c r="CS271" s="3">
        <f>+CS270+0.001</f>
        <v>38170.000999999997</v>
      </c>
      <c r="CT271" s="3">
        <f>+CT272</f>
        <v>630</v>
      </c>
      <c r="CU271" s="3">
        <f>+CU270+0.001</f>
        <v>1145110.0009999999</v>
      </c>
      <c r="CV271" s="3">
        <f>+CV272</f>
        <v>630</v>
      </c>
    </row>
    <row r="272" spans="97:100" x14ac:dyDescent="0.15">
      <c r="CS272" s="63">
        <f>ROUNDDOWN(PI()*POWER(CT272/2/10,2)*(CT272/10-IF(CT272&lt;180,0,6))/4*IF(OR($S$99=0,$S$99=1),1,$S$99),0)</f>
        <v>44420</v>
      </c>
      <c r="CT272" s="3">
        <f>+CT270+30</f>
        <v>630</v>
      </c>
      <c r="CU272" s="63">
        <f>ROUNDDOWN(PI()*POWER(CV272/2/10,3)*(CV272/10-IF(CV272&lt;180,0,6))/4*IF(OR($S$99=0,$S$99=1),1,$S$99),0)</f>
        <v>1399253</v>
      </c>
      <c r="CV272" s="3">
        <f>+CV270+30</f>
        <v>630</v>
      </c>
    </row>
    <row r="273" spans="2:165" x14ac:dyDescent="0.15">
      <c r="CS273" s="3">
        <f>+CS272+0.001</f>
        <v>44420.000999999997</v>
      </c>
      <c r="CT273" s="3">
        <v>0</v>
      </c>
      <c r="CU273" s="3">
        <f>+CU272+0.001</f>
        <v>1399253.0009999999</v>
      </c>
      <c r="CV273" s="3">
        <v>0</v>
      </c>
    </row>
    <row r="274" spans="2:165" x14ac:dyDescent="0.15">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row>
    <row r="275" spans="2:165" x14ac:dyDescent="0.15">
      <c r="B275" s="576"/>
      <c r="C275" s="576"/>
      <c r="D275" s="576"/>
      <c r="E275" s="576"/>
      <c r="F275" s="576"/>
      <c r="G275" s="576"/>
      <c r="H275" s="576"/>
      <c r="I275" s="348"/>
      <c r="J275" s="576"/>
      <c r="K275" s="576"/>
      <c r="L275" s="576"/>
      <c r="M275" s="576"/>
      <c r="N275" s="576"/>
      <c r="O275" s="576"/>
      <c r="P275" s="595"/>
      <c r="Q275" s="595"/>
      <c r="R275" s="576"/>
      <c r="S275" s="576"/>
      <c r="T275" s="595"/>
      <c r="U275" s="576"/>
      <c r="V275" s="576"/>
      <c r="W275" s="576"/>
      <c r="X275" s="576"/>
      <c r="Y275" s="576"/>
      <c r="Z275" s="576"/>
      <c r="AA275" s="576"/>
      <c r="AB275" s="576"/>
      <c r="AC275" s="576"/>
      <c r="AD275" s="576"/>
      <c r="AE275" s="576"/>
      <c r="AF275" s="595"/>
      <c r="AG275" s="595"/>
      <c r="AH275" s="595"/>
      <c r="AI275" s="595"/>
      <c r="AJ275" s="595"/>
      <c r="AK275" s="9"/>
      <c r="AL275" s="9"/>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58"/>
      <c r="CR275" s="23"/>
      <c r="CS275" s="23"/>
      <c r="CT275" s="23"/>
      <c r="CU275" s="23"/>
      <c r="CV275" s="63"/>
      <c r="CW275" s="63"/>
      <c r="CX275" s="63"/>
      <c r="CY275" s="63"/>
      <c r="CZ275" s="63"/>
      <c r="DA275" s="63"/>
      <c r="DB275" s="63"/>
      <c r="DC275" s="63"/>
      <c r="DD275" s="63"/>
      <c r="DE275" s="63"/>
      <c r="DF275" s="63"/>
      <c r="DG275" s="10"/>
      <c r="DH275" s="63"/>
      <c r="DI275" s="10"/>
      <c r="DJ275" s="63"/>
      <c r="DK275" s="10"/>
      <c r="DL275" s="63"/>
      <c r="DM275" s="63"/>
      <c r="DN275" s="63"/>
      <c r="DO275" s="63"/>
      <c r="DP275" s="63"/>
      <c r="DQ275" s="69"/>
      <c r="DR275" s="70"/>
      <c r="DS275" s="63"/>
      <c r="DT275" s="63"/>
      <c r="DU275" s="63"/>
      <c r="DV275" s="63"/>
      <c r="DW275" s="63"/>
      <c r="DX275" s="71"/>
      <c r="DY275" s="63"/>
      <c r="DZ275" s="63"/>
      <c r="EA275" s="63"/>
      <c r="EB275" s="63"/>
      <c r="EC275" s="63"/>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row>
    <row r="276" spans="2:165" x14ac:dyDescent="0.15">
      <c r="B276" s="576"/>
      <c r="C276" s="576"/>
      <c r="D276" s="595"/>
      <c r="E276" s="595"/>
      <c r="F276" s="576"/>
      <c r="G276" s="576"/>
      <c r="H276" s="576"/>
      <c r="I276" s="595"/>
      <c r="J276" s="576"/>
      <c r="K276" s="576"/>
      <c r="L276" s="576"/>
      <c r="M276" s="576"/>
      <c r="N276" s="576"/>
      <c r="O276" s="595"/>
      <c r="P276" s="595"/>
      <c r="Q276" s="595"/>
      <c r="R276" s="576"/>
      <c r="S276" s="595"/>
      <c r="T276" s="595"/>
      <c r="U276" s="595"/>
      <c r="V276" s="595"/>
      <c r="W276" s="595"/>
      <c r="X276" s="595"/>
      <c r="Y276" s="576"/>
      <c r="Z276" s="595"/>
      <c r="AA276" s="595"/>
      <c r="AB276" s="595"/>
      <c r="AC276" s="595"/>
      <c r="AD276" s="595"/>
      <c r="AE276" s="595"/>
      <c r="AF276" s="595"/>
      <c r="AG276" s="595"/>
      <c r="AH276" s="595"/>
      <c r="AI276" s="595"/>
      <c r="AJ276" s="595"/>
      <c r="AK276" s="9"/>
      <c r="AL276" s="9"/>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58"/>
      <c r="CT276" s="23"/>
      <c r="CU276" s="23"/>
      <c r="CV276" s="23"/>
      <c r="CW276" s="23"/>
      <c r="CX276" s="63"/>
      <c r="CY276" s="3" t="s">
        <v>882</v>
      </c>
      <c r="CZ276" s="63">
        <f t="shared" ref="CZ276:EG276" si="340">+CZ264</f>
        <v>0</v>
      </c>
      <c r="DA276" s="63">
        <f t="shared" si="340"/>
        <v>0</v>
      </c>
      <c r="DB276" s="63">
        <f t="shared" si="340"/>
        <v>0</v>
      </c>
      <c r="DC276" s="63">
        <f t="shared" si="340"/>
        <v>0</v>
      </c>
      <c r="DD276" s="63">
        <f t="shared" si="340"/>
        <v>0</v>
      </c>
      <c r="DE276" s="63">
        <f t="shared" si="340"/>
        <v>0</v>
      </c>
      <c r="DF276" s="63">
        <f t="shared" si="340"/>
        <v>0</v>
      </c>
      <c r="DG276" s="63">
        <f t="shared" si="340"/>
        <v>0</v>
      </c>
      <c r="DH276" s="63">
        <f t="shared" si="340"/>
        <v>0</v>
      </c>
      <c r="DI276" s="63">
        <f t="shared" si="340"/>
        <v>0</v>
      </c>
      <c r="DJ276" s="63">
        <f t="shared" si="340"/>
        <v>0</v>
      </c>
      <c r="DK276" s="63">
        <f t="shared" si="340"/>
        <v>0</v>
      </c>
      <c r="DL276" s="63">
        <f t="shared" si="340"/>
        <v>0</v>
      </c>
      <c r="DM276" s="63">
        <f t="shared" si="340"/>
        <v>0</v>
      </c>
      <c r="DN276" s="63">
        <f t="shared" si="340"/>
        <v>0</v>
      </c>
      <c r="DO276" s="63">
        <f t="shared" si="340"/>
        <v>0</v>
      </c>
      <c r="DP276" s="63">
        <f t="shared" si="340"/>
        <v>0</v>
      </c>
      <c r="DQ276" s="63">
        <f t="shared" si="340"/>
        <v>0</v>
      </c>
      <c r="DR276" s="63">
        <f t="shared" si="340"/>
        <v>0</v>
      </c>
      <c r="DS276" s="63">
        <f t="shared" si="340"/>
        <v>0</v>
      </c>
      <c r="DT276" s="63">
        <f t="shared" si="340"/>
        <v>0</v>
      </c>
      <c r="DU276" s="63">
        <f t="shared" si="340"/>
        <v>0</v>
      </c>
      <c r="DV276" s="63">
        <f t="shared" si="340"/>
        <v>0</v>
      </c>
      <c r="DW276" s="63">
        <f t="shared" si="340"/>
        <v>0</v>
      </c>
      <c r="DX276" s="63">
        <f t="shared" si="340"/>
        <v>0</v>
      </c>
      <c r="DY276" s="63">
        <f t="shared" si="340"/>
        <v>0</v>
      </c>
      <c r="DZ276" s="63">
        <f t="shared" si="340"/>
        <v>0</v>
      </c>
      <c r="EA276" s="63">
        <f t="shared" si="340"/>
        <v>0</v>
      </c>
      <c r="EB276" s="63">
        <f t="shared" si="340"/>
        <v>0</v>
      </c>
      <c r="EC276" s="63">
        <f t="shared" si="340"/>
        <v>0</v>
      </c>
      <c r="ED276" s="63">
        <f t="shared" si="340"/>
        <v>0</v>
      </c>
      <c r="EE276" s="63">
        <f t="shared" si="340"/>
        <v>0</v>
      </c>
      <c r="EF276" s="63">
        <f t="shared" si="340"/>
        <v>0</v>
      </c>
      <c r="EG276" s="63">
        <f t="shared" si="340"/>
        <v>0</v>
      </c>
      <c r="EH276" s="3" t="s">
        <v>883</v>
      </c>
      <c r="EI276" s="63" t="s">
        <v>884</v>
      </c>
      <c r="EJ276" s="63" t="s">
        <v>885</v>
      </c>
      <c r="EK276" s="63" t="s">
        <v>886</v>
      </c>
      <c r="EL276" s="63" t="s">
        <v>887</v>
      </c>
      <c r="EM276" s="63" t="s">
        <v>888</v>
      </c>
      <c r="EN276" s="63" t="s">
        <v>889</v>
      </c>
      <c r="EO276" s="63" t="s">
        <v>890</v>
      </c>
      <c r="EP276" s="63" t="s">
        <v>891</v>
      </c>
      <c r="EQ276" s="63" t="s">
        <v>892</v>
      </c>
      <c r="ER276" s="63" t="s">
        <v>893</v>
      </c>
      <c r="ES276" s="63" t="s">
        <v>894</v>
      </c>
      <c r="ET276" s="63" t="s">
        <v>895</v>
      </c>
      <c r="EU276" s="63" t="s">
        <v>896</v>
      </c>
      <c r="EV276" s="63" t="s">
        <v>897</v>
      </c>
      <c r="EW276" s="63" t="s">
        <v>898</v>
      </c>
      <c r="EX276" s="63" t="s">
        <v>899</v>
      </c>
      <c r="EY276" s="63" t="s">
        <v>900</v>
      </c>
      <c r="EZ276" s="3" t="s">
        <v>901</v>
      </c>
      <c r="FA276" s="63" t="s">
        <v>902</v>
      </c>
      <c r="FB276" s="63" t="s">
        <v>903</v>
      </c>
      <c r="FC276" s="63" t="s">
        <v>904</v>
      </c>
      <c r="FD276" s="63" t="s">
        <v>905</v>
      </c>
      <c r="FE276" s="63" t="s">
        <v>906</v>
      </c>
      <c r="FF276" s="63" t="s">
        <v>907</v>
      </c>
      <c r="FG276" s="63"/>
      <c r="FH276" s="63"/>
      <c r="FI276" s="63"/>
    </row>
    <row r="277" spans="2:165" x14ac:dyDescent="0.15">
      <c r="B277" s="595"/>
      <c r="C277" s="595"/>
      <c r="D277" s="401"/>
      <c r="E277" s="391"/>
      <c r="F277" s="595"/>
      <c r="G277" s="595"/>
      <c r="H277" s="595"/>
      <c r="I277" s="595"/>
      <c r="J277" s="576"/>
      <c r="K277" s="576"/>
      <c r="L277" s="348"/>
      <c r="M277" s="348"/>
      <c r="N277" s="595"/>
      <c r="O277" s="576"/>
      <c r="P277" s="576"/>
      <c r="Q277" s="576"/>
      <c r="R277" s="576"/>
      <c r="S277" s="576"/>
      <c r="T277" s="576"/>
      <c r="U277" s="576"/>
      <c r="V277" s="576"/>
      <c r="W277" s="595"/>
      <c r="X277" s="595"/>
      <c r="Y277" s="595"/>
      <c r="Z277" s="576"/>
      <c r="AA277" s="576"/>
      <c r="AB277" s="576"/>
      <c r="AC277" s="576"/>
      <c r="AD277" s="576"/>
      <c r="AE277" s="576"/>
      <c r="AF277" s="595"/>
      <c r="AG277" s="595"/>
      <c r="AH277" s="595"/>
      <c r="AI277" s="595"/>
      <c r="AJ277" s="595"/>
      <c r="AK277" s="9"/>
      <c r="AL277" s="9"/>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58"/>
      <c r="CT277" s="23"/>
      <c r="CU277" s="23"/>
      <c r="CV277" s="23"/>
      <c r="CX277" s="63"/>
      <c r="CY277" s="63">
        <f t="shared" ref="CY277:DD277" si="341">+CT265</f>
        <v>540</v>
      </c>
      <c r="CZ277" s="63">
        <f t="shared" si="341"/>
        <v>586034.00100000005</v>
      </c>
      <c r="DA277" s="63">
        <f t="shared" si="341"/>
        <v>540</v>
      </c>
      <c r="DB277" s="63">
        <f t="shared" si="341"/>
        <v>0</v>
      </c>
      <c r="DC277" s="63">
        <f t="shared" si="341"/>
        <v>0</v>
      </c>
      <c r="DD277" s="63">
        <f t="shared" si="341"/>
        <v>0</v>
      </c>
      <c r="DE277" s="63"/>
      <c r="DF277" s="63"/>
      <c r="DG277" s="63">
        <f>+DB265</f>
        <v>0</v>
      </c>
      <c r="DH277" s="63"/>
      <c r="DI277" s="63"/>
      <c r="DJ277" s="63"/>
      <c r="DK277" s="63"/>
      <c r="DL277" s="63"/>
      <c r="DM277" s="63"/>
      <c r="DN277" s="63"/>
      <c r="DO277" s="63"/>
      <c r="DP277" s="63">
        <f>+DK265</f>
        <v>0</v>
      </c>
      <c r="DQ277" s="63"/>
      <c r="DR277" s="63">
        <f>+DM265</f>
        <v>0</v>
      </c>
      <c r="DS277" s="63"/>
      <c r="DT277" s="63"/>
      <c r="DU277" s="63"/>
      <c r="DV277" s="63"/>
      <c r="DW277" s="63"/>
      <c r="DX277" s="63"/>
      <c r="DY277" s="63"/>
      <c r="DZ277" s="63"/>
      <c r="EA277" s="63">
        <f>+DV265</f>
        <v>0</v>
      </c>
      <c r="EB277" s="63">
        <f>+DW265</f>
        <v>0</v>
      </c>
      <c r="EC277" s="63"/>
      <c r="ED277" s="63"/>
      <c r="EE277" s="63"/>
      <c r="EF277" s="63"/>
      <c r="EG277" s="63"/>
      <c r="EH277" s="63"/>
      <c r="EI277" s="63"/>
      <c r="EN277" s="63">
        <f>+EE265</f>
        <v>0</v>
      </c>
      <c r="EO277" s="63"/>
      <c r="EP277" s="3" t="s">
        <v>471</v>
      </c>
      <c r="EQ277" s="63" t="s">
        <v>268</v>
      </c>
      <c r="ER277" s="63"/>
      <c r="ES277" s="63"/>
      <c r="ET277" s="63"/>
      <c r="EU277" s="63"/>
      <c r="EV277" s="63"/>
      <c r="EW277" s="63"/>
      <c r="EX277" s="63"/>
      <c r="EY277" s="63"/>
      <c r="EZ277" s="63"/>
      <c r="FA277" s="63"/>
      <c r="FB277" s="63"/>
      <c r="FC277" s="63"/>
      <c r="FD277" s="63"/>
      <c r="FE277" s="63" t="s">
        <v>707</v>
      </c>
      <c r="FF277" s="63"/>
      <c r="FG277" s="63" t="s">
        <v>703</v>
      </c>
      <c r="FH277" s="63"/>
      <c r="FI277" s="63"/>
    </row>
    <row r="278" spans="2:165" ht="15" thickBot="1" x14ac:dyDescent="0.2">
      <c r="B278" s="595"/>
      <c r="C278" s="595"/>
      <c r="D278" s="576"/>
      <c r="E278" s="595"/>
      <c r="F278" s="595"/>
      <c r="G278" s="595"/>
      <c r="H278" s="595"/>
      <c r="I278" s="595"/>
      <c r="J278" s="576"/>
      <c r="K278" s="576"/>
      <c r="L278" s="348"/>
      <c r="M278" s="348"/>
      <c r="N278" s="595"/>
      <c r="O278" s="576"/>
      <c r="P278" s="576"/>
      <c r="Q278" s="595"/>
      <c r="R278" s="595"/>
      <c r="S278" s="576"/>
      <c r="T278" s="576"/>
      <c r="U278" s="576"/>
      <c r="V278" s="576"/>
      <c r="W278" s="576"/>
      <c r="X278" s="576"/>
      <c r="Y278" s="576"/>
      <c r="Z278" s="52"/>
      <c r="AA278" s="52"/>
      <c r="AB278" s="52"/>
      <c r="AC278" s="52"/>
      <c r="AD278" s="52"/>
      <c r="AE278" s="52"/>
      <c r="AF278" s="595"/>
      <c r="AG278" s="595"/>
      <c r="AH278" s="595"/>
      <c r="AI278" s="595"/>
      <c r="AJ278" s="595"/>
      <c r="AK278" s="9"/>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85" t="s">
        <v>244</v>
      </c>
      <c r="CP278" s="23"/>
      <c r="CQ278" s="23"/>
      <c r="CS278" s="23" t="s">
        <v>242</v>
      </c>
      <c r="CT278" s="23"/>
      <c r="CU278" s="23"/>
      <c r="CV278" s="23"/>
      <c r="CX278" s="63"/>
      <c r="CY278" s="86"/>
      <c r="CZ278" s="86"/>
      <c r="DA278" s="86"/>
      <c r="DB278" s="86">
        <f>+CW266</f>
        <v>0</v>
      </c>
      <c r="DC278" s="86">
        <f>+CX266</f>
        <v>0</v>
      </c>
      <c r="DD278" s="86">
        <f>+CY266</f>
        <v>0</v>
      </c>
      <c r="DE278" s="86">
        <f>+CZ266</f>
        <v>0</v>
      </c>
      <c r="DF278" s="86">
        <f>+DA266</f>
        <v>0</v>
      </c>
      <c r="DG278" s="86">
        <f>+DB266</f>
        <v>0</v>
      </c>
      <c r="DH278" s="86">
        <f t="shared" ref="DH278:DO278" si="342">+DC266</f>
        <v>0</v>
      </c>
      <c r="DI278" s="86">
        <f t="shared" si="342"/>
        <v>0</v>
      </c>
      <c r="DJ278" s="86">
        <f t="shared" si="342"/>
        <v>0</v>
      </c>
      <c r="DK278" s="86">
        <f t="shared" si="342"/>
        <v>0</v>
      </c>
      <c r="DL278" s="86">
        <f t="shared" si="342"/>
        <v>0</v>
      </c>
      <c r="DM278" s="86">
        <f t="shared" si="342"/>
        <v>0</v>
      </c>
      <c r="DN278" s="86">
        <f t="shared" si="342"/>
        <v>0</v>
      </c>
      <c r="DO278" s="86">
        <f t="shared" si="342"/>
        <v>0</v>
      </c>
      <c r="DP278" s="86">
        <f>+DK266</f>
        <v>0</v>
      </c>
      <c r="DQ278" s="86">
        <f>+DL266</f>
        <v>0</v>
      </c>
      <c r="DR278" s="86">
        <f>+DM266</f>
        <v>0</v>
      </c>
      <c r="DS278" s="86">
        <f t="shared" ref="DS278:DZ278" si="343">+DN266</f>
        <v>0</v>
      </c>
      <c r="DT278" s="86">
        <f t="shared" si="343"/>
        <v>0</v>
      </c>
      <c r="DU278" s="86">
        <f t="shared" si="343"/>
        <v>0</v>
      </c>
      <c r="DV278" s="86">
        <f t="shared" si="343"/>
        <v>0</v>
      </c>
      <c r="DW278" s="86">
        <f t="shared" si="343"/>
        <v>0</v>
      </c>
      <c r="DX278" s="86">
        <f t="shared" si="343"/>
        <v>0</v>
      </c>
      <c r="DY278" s="86">
        <f t="shared" si="343"/>
        <v>0</v>
      </c>
      <c r="DZ278" s="86">
        <f t="shared" si="343"/>
        <v>0</v>
      </c>
      <c r="EA278" s="86">
        <f>+DV266</f>
        <v>0</v>
      </c>
      <c r="EB278" s="86">
        <f>+DW266</f>
        <v>0</v>
      </c>
      <c r="EC278" s="86">
        <f>+DX266</f>
        <v>0</v>
      </c>
      <c r="ED278" s="86">
        <f>+DY266</f>
        <v>0</v>
      </c>
      <c r="EE278" s="86">
        <f>+DZ266</f>
        <v>0</v>
      </c>
      <c r="EF278" s="86">
        <f>+EA266</f>
        <v>0</v>
      </c>
      <c r="EG278" s="86"/>
      <c r="EH278" s="86"/>
      <c r="EI278" s="86"/>
      <c r="EJ278" s="86">
        <f>+CX278</f>
        <v>0</v>
      </c>
      <c r="EK278" s="86">
        <f>+DA278</f>
        <v>0</v>
      </c>
      <c r="EL278" s="52" t="s">
        <v>908</v>
      </c>
      <c r="EM278" s="52" t="s">
        <v>909</v>
      </c>
      <c r="EN278" s="86">
        <f>+EE266</f>
        <v>0</v>
      </c>
      <c r="EO278" s="86">
        <f>+EF266</f>
        <v>0</v>
      </c>
      <c r="EP278" s="86">
        <f>+EG265</f>
        <v>0</v>
      </c>
      <c r="EQ278" s="52" t="s">
        <v>910</v>
      </c>
      <c r="ER278" s="52" t="s">
        <v>911</v>
      </c>
      <c r="ES278" s="86">
        <f>+DE278</f>
        <v>0</v>
      </c>
      <c r="ET278" s="86">
        <f>+DH278</f>
        <v>0</v>
      </c>
      <c r="EU278" s="86" t="s">
        <v>912</v>
      </c>
      <c r="EV278" s="86">
        <f>+DF278</f>
        <v>0</v>
      </c>
      <c r="EW278" s="86">
        <f>+DI278</f>
        <v>0</v>
      </c>
      <c r="EX278" s="86">
        <f>+EF278</f>
        <v>0</v>
      </c>
      <c r="EY278" s="86"/>
      <c r="EZ278" s="86"/>
      <c r="FA278" s="86"/>
      <c r="FB278" s="86" t="s">
        <v>253</v>
      </c>
      <c r="FC278" s="588" t="s">
        <v>913</v>
      </c>
      <c r="FD278" s="588" t="s">
        <v>914</v>
      </c>
      <c r="FE278" s="588" t="s">
        <v>913</v>
      </c>
      <c r="FF278" s="588" t="s">
        <v>914</v>
      </c>
      <c r="FG278" s="129" t="s">
        <v>915</v>
      </c>
      <c r="FH278" s="129" t="s">
        <v>915</v>
      </c>
      <c r="FI278" s="78"/>
    </row>
    <row r="279" spans="2:165" x14ac:dyDescent="0.15">
      <c r="B279" s="595"/>
      <c r="C279" s="595"/>
      <c r="D279" s="595"/>
      <c r="E279" s="595"/>
      <c r="F279" s="348"/>
      <c r="G279" s="348"/>
      <c r="H279" s="348"/>
      <c r="I279" s="348"/>
      <c r="J279" s="348"/>
      <c r="K279" s="348"/>
      <c r="L279" s="348"/>
      <c r="M279" s="348"/>
      <c r="N279" s="595"/>
      <c r="O279" s="595"/>
      <c r="P279" s="595"/>
      <c r="Q279" s="595"/>
      <c r="R279" s="347"/>
      <c r="S279" s="595"/>
      <c r="T279" s="576"/>
      <c r="U279" s="400"/>
      <c r="V279" s="400"/>
      <c r="W279" s="58"/>
      <c r="X279" s="58"/>
      <c r="Y279" s="595"/>
      <c r="Z279" s="595"/>
      <c r="AA279" s="595"/>
      <c r="AB279" s="595"/>
      <c r="AC279" s="595"/>
      <c r="AD279" s="595"/>
      <c r="AE279" s="595"/>
      <c r="AF279" s="398"/>
      <c r="AG279" s="407"/>
      <c r="AH279" s="595"/>
      <c r="AI279" s="595"/>
      <c r="AJ279" s="595"/>
      <c r="AK279" s="9"/>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9" t="e">
        <f>ROUNDUP((#REF!*H279*100/2*3/2/#REF!)+#REF!*100/#REF!,2)</f>
        <v>#REF!</v>
      </c>
      <c r="CS279" s="9">
        <f>IF(Q279=0,0,ROUNDUP(SQRT((Y279*O279/10*IF(U279=0,Q279/10,U279/10))/(V279*V279)),2))</f>
        <v>0</v>
      </c>
      <c r="CT279" s="9"/>
      <c r="CU279" s="23"/>
      <c r="CV279" s="23"/>
      <c r="CX279" s="63"/>
      <c r="FG279" s="78" t="e">
        <f>ROUND(#REF!/#REF!,1)</f>
        <v>#REF!</v>
      </c>
      <c r="FH279" s="78" t="e">
        <f>ROUND(#REF!/#REF!,1)</f>
        <v>#REF!</v>
      </c>
      <c r="FI279" s="78"/>
    </row>
    <row r="280" spans="2:165" x14ac:dyDescent="0.15">
      <c r="B280" s="595"/>
      <c r="C280" s="595"/>
      <c r="D280" s="595"/>
      <c r="E280" s="595"/>
      <c r="F280" s="348"/>
      <c r="G280" s="348"/>
      <c r="H280" s="348"/>
      <c r="I280" s="348"/>
      <c r="J280" s="348"/>
      <c r="K280" s="348"/>
      <c r="L280" s="348"/>
      <c r="M280" s="348"/>
      <c r="N280" s="595"/>
      <c r="O280" s="576"/>
      <c r="P280" s="576"/>
      <c r="Q280" s="595"/>
      <c r="R280" s="347"/>
      <c r="S280" s="595"/>
      <c r="T280" s="576"/>
      <c r="U280" s="400"/>
      <c r="V280" s="400"/>
      <c r="W280" s="58"/>
      <c r="X280" s="58"/>
      <c r="Y280" s="595"/>
      <c r="Z280" s="595"/>
      <c r="AA280" s="595"/>
      <c r="AB280" s="595"/>
      <c r="AC280" s="595"/>
      <c r="AD280" s="595"/>
      <c r="AE280" s="595"/>
      <c r="AF280" s="398"/>
      <c r="AG280" s="407"/>
      <c r="AH280" s="595"/>
      <c r="AI280" s="595"/>
      <c r="AJ280" s="595"/>
      <c r="AK280" s="9"/>
      <c r="AO280" s="23"/>
      <c r="AP280" s="23"/>
      <c r="AQ280" s="23"/>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23"/>
      <c r="CO280" s="9" t="e">
        <f>ROUNDUP((#REF!*H279*100/2*4/3/#REF!)+#REF!*100/#REF!,2)</f>
        <v>#REF!</v>
      </c>
      <c r="CS280" s="9">
        <f>IF(Q280=0,0,ROUNDUP(SQRT(IF(U280=0,(Y280*(Q280/10-6)*(Q280/10-3)),(Y280*(U280/10-6)*(U280/10-3)))/(V280*V280)),2))</f>
        <v>0</v>
      </c>
      <c r="CT280" s="9"/>
      <c r="CU280" s="23"/>
      <c r="CV280" s="23"/>
      <c r="CX280" s="63"/>
      <c r="FG280" s="78" t="e">
        <f>ROUND(#REF!/#REF!,1)</f>
        <v>#REF!</v>
      </c>
      <c r="FH280" s="78" t="e">
        <f>ROUND(#REF!/#REF!,1)</f>
        <v>#REF!</v>
      </c>
      <c r="FI280" s="78"/>
    </row>
    <row r="281" spans="2:165" x14ac:dyDescent="0.15">
      <c r="B281" s="576"/>
      <c r="C281" s="576"/>
      <c r="D281" s="576"/>
      <c r="E281" s="576"/>
      <c r="F281" s="576"/>
      <c r="G281" s="576"/>
      <c r="H281" s="576"/>
      <c r="I281" s="576"/>
      <c r="J281" s="595"/>
      <c r="K281" s="595"/>
      <c r="L281" s="576"/>
      <c r="M281" s="576"/>
      <c r="N281" s="576"/>
      <c r="O281" s="576"/>
      <c r="P281" s="576"/>
      <c r="Q281" s="576"/>
      <c r="R281" s="595"/>
      <c r="S281" s="576"/>
      <c r="T281" s="576"/>
      <c r="U281" s="18"/>
      <c r="V281" s="18"/>
      <c r="W281" s="18"/>
      <c r="X281" s="18"/>
      <c r="Y281" s="18"/>
      <c r="Z281" s="18"/>
      <c r="AA281" s="18"/>
      <c r="AB281" s="576"/>
      <c r="AC281" s="595"/>
      <c r="AD281" s="576"/>
      <c r="AE281" s="576"/>
      <c r="AF281" s="576"/>
      <c r="AG281" s="576"/>
      <c r="AH281" s="576"/>
      <c r="AI281" s="391"/>
      <c r="AJ281" s="576"/>
      <c r="AK281" s="18"/>
      <c r="AL281" s="18"/>
      <c r="AM281" s="18"/>
      <c r="AN281" s="18"/>
      <c r="AO281" s="18"/>
      <c r="AP281" s="18"/>
      <c r="AQ281" s="18"/>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c r="CI281" s="76"/>
      <c r="CJ281" s="76"/>
      <c r="CK281" s="76"/>
      <c r="CL281" s="76"/>
      <c r="CM281" s="76"/>
      <c r="CN281" s="18"/>
      <c r="CO281" s="18"/>
      <c r="CP281" s="18"/>
      <c r="CQ281" s="18"/>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57"/>
      <c r="DX281" s="57"/>
      <c r="DY281" s="57"/>
      <c r="DZ281" s="57"/>
      <c r="EA281" s="57"/>
      <c r="EB281" s="57"/>
      <c r="EC281" s="57"/>
      <c r="ED281" s="57"/>
      <c r="EE281" s="57"/>
      <c r="EF281" s="57"/>
      <c r="EG281" s="57"/>
      <c r="EH281" s="57"/>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row>
    <row r="282" spans="2:165" x14ac:dyDescent="0.15">
      <c r="B282" s="576"/>
      <c r="C282" s="576"/>
      <c r="D282" s="576"/>
      <c r="E282" s="576"/>
      <c r="F282" s="595"/>
      <c r="G282" s="576"/>
      <c r="H282" s="576"/>
      <c r="I282" s="595"/>
      <c r="J282" s="595"/>
      <c r="K282" s="595"/>
      <c r="L282" s="576"/>
      <c r="M282" s="576"/>
      <c r="N282" s="576"/>
      <c r="O282" s="576"/>
      <c r="P282" s="576"/>
      <c r="Q282" s="595"/>
      <c r="R282" s="595"/>
      <c r="S282" s="576"/>
      <c r="T282" s="576"/>
      <c r="U282" s="76"/>
      <c r="V282" s="76"/>
      <c r="W282" s="76"/>
      <c r="X282" s="76"/>
      <c r="Y282" s="76"/>
      <c r="Z282" s="76"/>
      <c r="AA282" s="76"/>
      <c r="AB282" s="595"/>
      <c r="AC282" s="595"/>
      <c r="AD282" s="576"/>
      <c r="AE282" s="576"/>
      <c r="AF282" s="576"/>
      <c r="AG282" s="576"/>
      <c r="AH282" s="595"/>
      <c r="AI282" s="576"/>
      <c r="AJ282" s="595"/>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c r="CI282" s="76"/>
      <c r="CJ282" s="76"/>
      <c r="CK282" s="76"/>
      <c r="CL282" s="76"/>
      <c r="CM282" s="76"/>
      <c r="CN282" s="76"/>
      <c r="CO282" s="76"/>
      <c r="CP282" s="76"/>
      <c r="CQ282" s="76"/>
      <c r="CR282" s="392"/>
      <c r="CS282" s="18"/>
      <c r="CT282" s="18"/>
      <c r="CU282" s="52"/>
      <c r="CV282" s="392"/>
      <c r="CW282" s="392"/>
      <c r="CX282" s="393"/>
      <c r="CY282" s="393"/>
      <c r="CZ282" s="393"/>
      <c r="DA282" s="393"/>
      <c r="DB282" s="392"/>
      <c r="DC282" s="392"/>
      <c r="DD282" s="392"/>
      <c r="DE282" s="392"/>
      <c r="DF282" s="392"/>
      <c r="DG282" s="392"/>
      <c r="DH282" s="392"/>
      <c r="DI282" s="392"/>
      <c r="DJ282" s="392"/>
      <c r="DK282" s="392"/>
      <c r="DL282" s="392"/>
      <c r="DM282" s="392"/>
      <c r="DN282" s="392"/>
      <c r="DO282" s="392"/>
      <c r="DP282" s="392"/>
      <c r="DQ282" s="392"/>
      <c r="DR282" s="392"/>
      <c r="DS282" s="392"/>
      <c r="DT282" s="392"/>
      <c r="DU282" s="392"/>
      <c r="DV282" s="392"/>
      <c r="DW282" s="394"/>
      <c r="DX282" s="394"/>
      <c r="DY282" s="394"/>
      <c r="DZ282" s="394"/>
      <c r="EA282" s="394"/>
      <c r="EB282" s="394"/>
      <c r="EC282" s="394"/>
      <c r="ED282" s="394"/>
      <c r="EE282" s="394"/>
      <c r="EF282" s="394"/>
      <c r="EG282" s="394"/>
      <c r="EH282" s="394"/>
      <c r="EI282" s="392"/>
      <c r="EJ282" s="392"/>
      <c r="EK282" s="392"/>
      <c r="EL282" s="392"/>
      <c r="EM282" s="392"/>
      <c r="EN282" s="392"/>
      <c r="EO282" s="392"/>
      <c r="EP282" s="392"/>
      <c r="EQ282" s="392"/>
      <c r="ER282" s="392"/>
      <c r="ES282" s="395"/>
      <c r="ET282" s="392"/>
      <c r="EU282" s="392"/>
      <c r="EV282" s="392"/>
      <c r="EW282" s="392"/>
      <c r="EX282" s="392"/>
      <c r="EY282" s="392"/>
      <c r="EZ282" s="392"/>
      <c r="FA282" s="392"/>
      <c r="FB282" s="392"/>
      <c r="FC282" s="392"/>
      <c r="FD282" s="392"/>
      <c r="FE282" s="392"/>
      <c r="FF282" s="392"/>
      <c r="FG282" s="392"/>
      <c r="FH282" s="392"/>
      <c r="FI282" s="392"/>
    </row>
    <row r="283" spans="2:165" x14ac:dyDescent="0.15">
      <c r="B283" s="576"/>
      <c r="C283" s="576"/>
      <c r="D283" s="396"/>
      <c r="E283" s="52"/>
      <c r="F283" s="595"/>
      <c r="G283" s="576"/>
      <c r="H283" s="576"/>
      <c r="I283" s="576"/>
      <c r="J283" s="576"/>
      <c r="K283" s="576"/>
      <c r="L283" s="576"/>
      <c r="M283" s="52"/>
      <c r="N283" s="52"/>
      <c r="O283" s="52"/>
      <c r="P283" s="52"/>
      <c r="Q283" s="595"/>
      <c r="R283" s="595"/>
      <c r="S283" s="576"/>
      <c r="T283" s="576"/>
      <c r="U283" s="76"/>
      <c r="V283" s="76"/>
      <c r="W283" s="76"/>
      <c r="X283" s="76"/>
      <c r="Y283" s="76"/>
      <c r="Z283" s="76"/>
      <c r="AA283" s="76"/>
      <c r="AB283" s="595"/>
      <c r="AC283" s="595"/>
      <c r="AD283" s="576"/>
      <c r="AE283" s="576"/>
      <c r="AF283" s="576"/>
      <c r="AG283" s="576"/>
      <c r="AH283" s="595"/>
      <c r="AI283" s="595"/>
      <c r="AJ283" s="595"/>
      <c r="AK283" s="76"/>
      <c r="AN283" s="76"/>
      <c r="AO283" s="76"/>
      <c r="AP283" s="76"/>
      <c r="AQ283" s="76"/>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76"/>
      <c r="CO283" s="76"/>
      <c r="CP283" s="76"/>
      <c r="CQ283" s="76"/>
      <c r="CR283" s="392"/>
      <c r="CS283" s="392"/>
      <c r="CT283" s="392"/>
      <c r="CU283" s="392"/>
      <c r="CV283" s="393"/>
      <c r="CW283" s="393"/>
      <c r="CX283" s="52"/>
      <c r="CY283" s="393"/>
      <c r="CZ283" s="52"/>
      <c r="DA283" s="393"/>
      <c r="DB283" s="393"/>
      <c r="DC283" s="393"/>
      <c r="DD283" s="52"/>
      <c r="DE283" s="52"/>
      <c r="DF283" s="393"/>
      <c r="DG283" s="393"/>
      <c r="DH283" s="392"/>
      <c r="DI283" s="393"/>
      <c r="DJ283" s="17"/>
      <c r="DK283" s="52"/>
      <c r="DL283" s="393"/>
      <c r="DM283" s="393"/>
      <c r="DN283" s="393"/>
      <c r="DO283" s="393"/>
      <c r="DP283" s="393"/>
      <c r="DQ283" s="392"/>
      <c r="DR283" s="392"/>
      <c r="DS283" s="392"/>
      <c r="DT283" s="392"/>
      <c r="DU283" s="392"/>
      <c r="DV283" s="392"/>
      <c r="DW283" s="394"/>
      <c r="DX283" s="394"/>
      <c r="DY283" s="394"/>
      <c r="DZ283" s="394"/>
      <c r="EA283" s="394"/>
      <c r="EB283" s="394"/>
      <c r="EC283" s="394"/>
      <c r="ED283" s="394"/>
      <c r="EE283" s="394"/>
      <c r="EF283" s="394"/>
      <c r="EG283" s="394"/>
      <c r="EH283" s="394"/>
      <c r="EI283" s="392"/>
      <c r="EJ283" s="392"/>
      <c r="EK283" s="392"/>
      <c r="EL283" s="392"/>
      <c r="EM283" s="392"/>
      <c r="EN283" s="392"/>
      <c r="EO283" s="392"/>
      <c r="EP283" s="392"/>
      <c r="EQ283" s="392"/>
      <c r="ER283" s="392"/>
      <c r="ES283" s="395"/>
      <c r="ET283" s="392"/>
      <c r="EU283" s="392"/>
      <c r="EV283" s="392"/>
      <c r="EW283" s="392"/>
      <c r="EX283" s="392"/>
      <c r="EY283" s="392"/>
      <c r="EZ283" s="392"/>
      <c r="FA283" s="392"/>
      <c r="FB283" s="392"/>
      <c r="FC283" s="392"/>
      <c r="FD283" s="392"/>
      <c r="FE283" s="392"/>
      <c r="FF283" s="392"/>
      <c r="FG283" s="392"/>
      <c r="FH283" s="392"/>
      <c r="FI283" s="392"/>
    </row>
    <row r="284" spans="2:165" x14ac:dyDescent="0.15">
      <c r="B284" s="595"/>
      <c r="C284" s="595"/>
      <c r="D284" s="347"/>
      <c r="E284" s="397"/>
      <c r="F284" s="348"/>
      <c r="G284" s="348"/>
      <c r="H284" s="595"/>
      <c r="I284" s="595"/>
      <c r="J284" s="576"/>
      <c r="K284" s="595"/>
      <c r="L284" s="595"/>
      <c r="M284" s="348"/>
      <c r="N284" s="348"/>
      <c r="O284" s="348"/>
      <c r="P284" s="348"/>
      <c r="Q284" s="576"/>
      <c r="R284" s="576"/>
      <c r="S284" s="398"/>
      <c r="T284" s="79"/>
      <c r="U284" s="18"/>
      <c r="V284" s="18"/>
      <c r="W284" s="18"/>
      <c r="X284" s="18"/>
      <c r="Y284" s="18"/>
      <c r="Z284" s="18"/>
      <c r="AA284" s="18"/>
      <c r="AB284" s="595"/>
      <c r="AC284" s="595"/>
      <c r="AD284" s="348"/>
      <c r="AE284" s="58"/>
      <c r="AF284" s="595"/>
      <c r="AG284" s="348"/>
      <c r="AH284" s="58"/>
      <c r="AI284" s="58"/>
      <c r="AJ284" s="576"/>
      <c r="AK284" s="18"/>
      <c r="AN284" s="18"/>
      <c r="AO284" s="18"/>
      <c r="AP284" s="18"/>
      <c r="AQ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392"/>
      <c r="CS284" s="392"/>
      <c r="CT284" s="392"/>
      <c r="CU284" s="392"/>
      <c r="CV284" s="392"/>
      <c r="CW284" s="392"/>
      <c r="CX284" s="392"/>
      <c r="CY284" s="392"/>
      <c r="CZ284" s="392"/>
      <c r="DA284" s="392"/>
      <c r="DB284" s="392"/>
      <c r="DC284" s="392"/>
      <c r="DD284" s="76"/>
      <c r="DE284" s="392"/>
      <c r="DF284" s="392"/>
      <c r="DG284" s="392"/>
      <c r="DH284" s="392"/>
      <c r="DI284" s="392"/>
      <c r="DJ284" s="397"/>
      <c r="DK284" s="80"/>
      <c r="DL284" s="392"/>
      <c r="DM284" s="392"/>
      <c r="DN284" s="392"/>
      <c r="DO284" s="392"/>
      <c r="DP284" s="392"/>
      <c r="DQ284" s="392"/>
      <c r="DR284" s="392"/>
      <c r="DS284" s="392"/>
      <c r="DT284" s="392"/>
      <c r="DU284" s="392"/>
      <c r="DV284" s="392"/>
      <c r="DW284" s="394"/>
      <c r="DX284" s="394"/>
      <c r="DY284" s="394"/>
      <c r="DZ284" s="394"/>
      <c r="EA284" s="394"/>
      <c r="EB284" s="394"/>
      <c r="EC284" s="394"/>
      <c r="ED284" s="394"/>
      <c r="EE284" s="394"/>
      <c r="EF284" s="394"/>
      <c r="EG284" s="394"/>
      <c r="EH284" s="394"/>
      <c r="EI284" s="392"/>
      <c r="EJ284" s="392"/>
      <c r="EK284" s="392"/>
      <c r="EL284" s="392"/>
      <c r="EM284" s="392"/>
      <c r="EN284" s="392"/>
      <c r="EO284" s="392"/>
      <c r="EP284" s="392"/>
      <c r="EQ284" s="392"/>
      <c r="ER284" s="392"/>
      <c r="ES284" s="392"/>
      <c r="ET284" s="392"/>
      <c r="EU284" s="392"/>
      <c r="EV284" s="392"/>
      <c r="EW284" s="392"/>
      <c r="EX284" s="392"/>
      <c r="EY284" s="392"/>
      <c r="EZ284" s="392"/>
      <c r="FA284" s="392"/>
      <c r="FB284" s="392"/>
      <c r="FC284" s="392"/>
      <c r="FD284" s="392"/>
      <c r="FE284" s="392"/>
      <c r="FF284" s="392"/>
      <c r="FG284" s="392"/>
      <c r="FH284" s="392"/>
      <c r="FI284" s="392"/>
    </row>
    <row r="285" spans="2:165" x14ac:dyDescent="0.15">
      <c r="B285" s="595"/>
      <c r="C285" s="595"/>
      <c r="D285" s="347"/>
      <c r="E285" s="397"/>
      <c r="F285" s="348"/>
      <c r="G285" s="348"/>
      <c r="H285" s="595"/>
      <c r="I285" s="595"/>
      <c r="J285" s="576"/>
      <c r="K285" s="595"/>
      <c r="L285" s="595"/>
      <c r="M285" s="348"/>
      <c r="N285" s="348"/>
      <c r="O285" s="348"/>
      <c r="P285" s="348"/>
      <c r="Q285" s="576"/>
      <c r="R285" s="576"/>
      <c r="S285" s="398"/>
      <c r="T285" s="79"/>
      <c r="U285" s="18"/>
      <c r="V285" s="18"/>
      <c r="W285" s="18"/>
      <c r="X285" s="18"/>
      <c r="Y285" s="18"/>
      <c r="Z285" s="14"/>
      <c r="AA285" s="18"/>
      <c r="AB285" s="79"/>
      <c r="AC285" s="18"/>
      <c r="AD285" s="18"/>
      <c r="AE285" s="18"/>
      <c r="AF285" s="18"/>
      <c r="AG285" s="18"/>
      <c r="AH285" s="18"/>
      <c r="AI285" s="18"/>
      <c r="AJ285" s="18"/>
      <c r="AK285" s="18"/>
      <c r="AL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392"/>
      <c r="CS285" s="392"/>
      <c r="CT285" s="392"/>
      <c r="CU285" s="392"/>
      <c r="CV285" s="392"/>
      <c r="CW285" s="392"/>
      <c r="CX285" s="392"/>
      <c r="CY285" s="392"/>
      <c r="CZ285" s="392"/>
      <c r="DA285" s="392"/>
      <c r="DB285" s="392"/>
      <c r="DC285" s="392"/>
      <c r="DD285" s="76"/>
      <c r="DE285" s="392"/>
      <c r="DF285" s="392"/>
      <c r="DG285" s="392"/>
      <c r="DH285" s="392"/>
      <c r="DI285" s="392"/>
      <c r="DJ285" s="397"/>
      <c r="DK285" s="80"/>
      <c r="DL285" s="392"/>
      <c r="DM285" s="392"/>
      <c r="DN285" s="392"/>
      <c r="DO285" s="392"/>
      <c r="DP285" s="392"/>
      <c r="DQ285" s="392"/>
      <c r="DR285" s="392"/>
      <c r="DS285" s="392"/>
      <c r="DT285" s="392"/>
      <c r="DU285" s="392"/>
      <c r="DV285" s="392"/>
      <c r="DW285" s="394"/>
      <c r="DX285" s="394"/>
      <c r="DY285" s="394"/>
      <c r="DZ285" s="394"/>
      <c r="EA285" s="394"/>
      <c r="EB285" s="394"/>
      <c r="EC285" s="394"/>
      <c r="ED285" s="394"/>
      <c r="EE285" s="394"/>
      <c r="EF285" s="394"/>
      <c r="EG285" s="394"/>
      <c r="EH285" s="394"/>
      <c r="EI285" s="392"/>
      <c r="EJ285" s="392"/>
      <c r="EK285" s="392"/>
      <c r="EL285" s="392"/>
      <c r="EM285" s="392"/>
      <c r="EN285" s="392"/>
      <c r="EO285" s="392"/>
      <c r="EP285" s="392"/>
      <c r="EQ285" s="392"/>
      <c r="ER285" s="392"/>
      <c r="ES285" s="392"/>
      <c r="ET285" s="392"/>
      <c r="EU285" s="392"/>
      <c r="EV285" s="392"/>
      <c r="EW285" s="392"/>
      <c r="EX285" s="392"/>
      <c r="EY285" s="392"/>
      <c r="EZ285" s="392"/>
      <c r="FA285" s="67"/>
      <c r="FB285" s="67"/>
      <c r="FC285" s="67"/>
      <c r="FD285" s="67"/>
      <c r="FE285" s="67"/>
      <c r="FF285" s="67"/>
      <c r="FG285" s="67"/>
      <c r="FH285" s="67"/>
      <c r="FI285" s="67"/>
    </row>
    <row r="286" spans="2:165" x14ac:dyDescent="0.15">
      <c r="B286" s="595"/>
      <c r="C286" s="595"/>
      <c r="D286" s="347"/>
      <c r="E286" s="397"/>
      <c r="F286" s="348"/>
      <c r="G286" s="348"/>
      <c r="H286" s="595"/>
      <c r="I286" s="595"/>
      <c r="J286" s="576"/>
      <c r="K286" s="595"/>
      <c r="L286" s="595"/>
      <c r="M286" s="348"/>
      <c r="N286" s="348"/>
      <c r="O286" s="348"/>
      <c r="P286" s="348"/>
      <c r="Q286" s="576"/>
      <c r="R286" s="576"/>
      <c r="S286" s="398"/>
      <c r="T286" s="79"/>
      <c r="U286" s="18"/>
      <c r="V286" s="18"/>
      <c r="W286" s="18"/>
      <c r="X286" s="18"/>
      <c r="Y286" s="18"/>
      <c r="Z286" s="18"/>
      <c r="AA286" s="18"/>
      <c r="AB286" s="79"/>
      <c r="AC286" s="18"/>
      <c r="AD286" s="18"/>
      <c r="AE286" s="18"/>
      <c r="AF286" s="18"/>
      <c r="AG286" s="18"/>
      <c r="AH286" s="18"/>
      <c r="AI286" s="18"/>
      <c r="AJ286" s="18"/>
      <c r="AK286" s="18"/>
      <c r="AL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392"/>
      <c r="CS286" s="392"/>
      <c r="CT286" s="392"/>
      <c r="CU286" s="392"/>
      <c r="CV286" s="392"/>
      <c r="CW286" s="392"/>
      <c r="CX286" s="392"/>
      <c r="CY286" s="392"/>
      <c r="CZ286" s="392"/>
      <c r="DA286" s="392"/>
      <c r="DB286" s="392"/>
      <c r="DC286" s="392"/>
      <c r="DD286" s="76"/>
      <c r="DE286" s="392"/>
      <c r="DF286" s="392"/>
      <c r="DG286" s="392"/>
      <c r="DH286" s="392"/>
      <c r="DI286" s="392"/>
      <c r="DJ286" s="397"/>
      <c r="DK286" s="80"/>
      <c r="DL286" s="392"/>
      <c r="DM286" s="392"/>
      <c r="DN286" s="392"/>
      <c r="DO286" s="392"/>
      <c r="DP286" s="392"/>
      <c r="DQ286" s="392"/>
      <c r="DR286" s="392"/>
      <c r="DS286" s="392"/>
      <c r="DT286" s="392"/>
      <c r="DU286" s="392"/>
      <c r="DV286" s="392"/>
      <c r="DW286" s="394"/>
      <c r="DX286" s="394"/>
      <c r="DY286" s="394"/>
      <c r="DZ286" s="394"/>
      <c r="EA286" s="394"/>
      <c r="EB286" s="394"/>
      <c r="EC286" s="394"/>
      <c r="ED286" s="394"/>
      <c r="EE286" s="394"/>
      <c r="EF286" s="394"/>
      <c r="EG286" s="394"/>
      <c r="EH286" s="394"/>
      <c r="EI286" s="392"/>
      <c r="EJ286" s="392"/>
      <c r="EK286" s="392"/>
      <c r="EL286" s="392"/>
      <c r="EM286" s="392"/>
      <c r="EN286" s="392"/>
      <c r="EO286" s="392"/>
      <c r="EP286" s="392"/>
      <c r="EQ286" s="392"/>
      <c r="ER286" s="392"/>
      <c r="ES286" s="392"/>
      <c r="ET286" s="392"/>
      <c r="EU286" s="392"/>
      <c r="EV286" s="392"/>
      <c r="EW286" s="392"/>
      <c r="EX286" s="392"/>
      <c r="EY286" s="392"/>
      <c r="EZ286" s="392"/>
      <c r="FA286" s="67"/>
      <c r="FB286" s="67"/>
      <c r="FC286" s="67"/>
      <c r="FD286" s="67"/>
      <c r="FE286" s="67"/>
      <c r="FF286" s="67"/>
      <c r="FG286" s="67"/>
      <c r="FH286" s="67"/>
      <c r="FI286" s="67"/>
    </row>
    <row r="287" spans="2:165" x14ac:dyDescent="0.15">
      <c r="B287" s="595"/>
      <c r="C287" s="595"/>
      <c r="D287" s="347"/>
      <c r="E287" s="397"/>
      <c r="F287" s="348"/>
      <c r="G287" s="348"/>
      <c r="H287" s="595"/>
      <c r="I287" s="595"/>
      <c r="J287" s="576"/>
      <c r="K287" s="595"/>
      <c r="L287" s="76"/>
      <c r="M287" s="348"/>
      <c r="N287" s="348"/>
      <c r="O287" s="348"/>
      <c r="P287" s="348"/>
      <c r="Q287" s="576"/>
      <c r="R287" s="399"/>
      <c r="S287" s="398"/>
      <c r="T287" s="79"/>
      <c r="U287" s="18"/>
      <c r="V287" s="18"/>
      <c r="W287" s="18"/>
      <c r="X287" s="18"/>
      <c r="Y287" s="18"/>
      <c r="Z287" s="18"/>
      <c r="AA287" s="18"/>
      <c r="AB287" s="576"/>
      <c r="AC287" s="18"/>
      <c r="AD287" s="18"/>
      <c r="AE287" s="18"/>
      <c r="AF287" s="18"/>
      <c r="AG287" s="18"/>
      <c r="AH287" s="18"/>
      <c r="AI287" s="18"/>
      <c r="AJ287" s="18"/>
      <c r="AK287" s="18"/>
      <c r="AL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392"/>
      <c r="CS287" s="392"/>
      <c r="CT287" s="392"/>
      <c r="CU287" s="392"/>
      <c r="CV287" s="392"/>
      <c r="CW287" s="392"/>
      <c r="CX287" s="392"/>
      <c r="CY287" s="392"/>
      <c r="CZ287" s="392"/>
      <c r="DA287" s="392"/>
      <c r="DB287" s="392"/>
      <c r="DC287" s="392"/>
      <c r="DD287" s="76"/>
      <c r="DE287" s="392"/>
      <c r="DF287" s="392"/>
      <c r="DG287" s="392"/>
      <c r="DH287" s="392"/>
      <c r="DI287" s="392"/>
      <c r="DJ287" s="397"/>
      <c r="DK287" s="80"/>
      <c r="DL287" s="392"/>
      <c r="DM287" s="392"/>
      <c r="DN287" s="392"/>
      <c r="DO287" s="392"/>
      <c r="DP287" s="392"/>
      <c r="DQ287" s="392"/>
      <c r="DR287" s="392"/>
      <c r="DS287" s="392"/>
      <c r="DT287" s="392"/>
      <c r="DU287" s="392"/>
      <c r="DV287" s="392"/>
      <c r="DW287" s="394"/>
      <c r="DX287" s="394"/>
      <c r="DY287" s="394"/>
      <c r="DZ287" s="394"/>
      <c r="EA287" s="394"/>
      <c r="EB287" s="394"/>
      <c r="EC287" s="394"/>
      <c r="ED287" s="394"/>
      <c r="EE287" s="394"/>
      <c r="EF287" s="394"/>
      <c r="EG287" s="394"/>
      <c r="EH287" s="394"/>
      <c r="EI287" s="392"/>
      <c r="EJ287" s="392"/>
      <c r="EK287" s="392"/>
      <c r="EL287" s="392"/>
      <c r="EM287" s="392"/>
      <c r="EN287" s="392"/>
      <c r="EO287" s="392"/>
      <c r="EP287" s="392"/>
      <c r="EQ287" s="392"/>
      <c r="ER287" s="392"/>
      <c r="ES287" s="392"/>
      <c r="ET287" s="392"/>
      <c r="EU287" s="392"/>
      <c r="EV287" s="392"/>
      <c r="EW287" s="392"/>
      <c r="EX287" s="392"/>
      <c r="EY287" s="392"/>
      <c r="EZ287" s="392"/>
      <c r="FA287" s="67"/>
      <c r="FB287" s="67"/>
      <c r="FC287" s="67"/>
      <c r="FD287" s="67"/>
      <c r="FE287" s="67"/>
      <c r="FF287" s="67"/>
      <c r="FG287" s="67"/>
      <c r="FH287" s="67"/>
      <c r="FI287" s="67"/>
    </row>
    <row r="288" spans="2:165" x14ac:dyDescent="0.15">
      <c r="B288" s="595"/>
      <c r="C288" s="595"/>
      <c r="D288" s="400"/>
      <c r="E288" s="595"/>
      <c r="F288" s="348"/>
      <c r="G288" s="347"/>
      <c r="H288" s="595"/>
      <c r="I288" s="595"/>
      <c r="J288" s="576"/>
      <c r="K288" s="595"/>
      <c r="L288" s="76"/>
      <c r="M288" s="348"/>
      <c r="N288" s="348"/>
      <c r="O288" s="348"/>
      <c r="P288" s="348"/>
      <c r="Q288" s="576"/>
      <c r="R288" s="576"/>
      <c r="S288" s="398"/>
      <c r="T288" s="79"/>
      <c r="U288" s="18"/>
      <c r="V288" s="18"/>
      <c r="W288" s="18"/>
      <c r="X288" s="18"/>
      <c r="Y288" s="18"/>
      <c r="Z288" s="18"/>
      <c r="AA288" s="18"/>
      <c r="AB288" s="576"/>
      <c r="AC288" s="18"/>
      <c r="AD288" s="18"/>
      <c r="AE288" s="18"/>
      <c r="AF288" s="18"/>
      <c r="AG288" s="18"/>
      <c r="AH288" s="18"/>
      <c r="AI288" s="18"/>
      <c r="AJ288" s="18"/>
      <c r="AK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392"/>
      <c r="CS288" s="392"/>
      <c r="CT288" s="392"/>
      <c r="CU288" s="392"/>
      <c r="CV288" s="392"/>
      <c r="CW288" s="392"/>
      <c r="CX288" s="392"/>
      <c r="CY288" s="392"/>
      <c r="CZ288" s="392"/>
      <c r="DA288" s="392"/>
      <c r="DB288" s="392"/>
      <c r="DC288" s="392"/>
      <c r="DD288" s="76"/>
      <c r="DE288" s="392"/>
      <c r="DF288" s="392"/>
      <c r="DG288" s="392"/>
      <c r="DH288" s="392"/>
      <c r="DI288" s="392"/>
      <c r="DJ288" s="392"/>
      <c r="DK288" s="392"/>
      <c r="DL288" s="392"/>
      <c r="DM288" s="392"/>
      <c r="DN288" s="392"/>
      <c r="DO288" s="392"/>
      <c r="DP288" s="392"/>
      <c r="DQ288" s="392"/>
      <c r="DR288" s="392"/>
      <c r="DS288" s="392"/>
      <c r="DT288" s="392"/>
      <c r="DU288" s="392"/>
      <c r="DV288" s="392"/>
      <c r="DW288" s="394"/>
      <c r="DX288" s="394"/>
      <c r="DY288" s="394"/>
      <c r="DZ288" s="394"/>
      <c r="EA288" s="394"/>
      <c r="EB288" s="394"/>
      <c r="EC288" s="394"/>
      <c r="ED288" s="394"/>
      <c r="EE288" s="394"/>
      <c r="EF288" s="394"/>
      <c r="EG288" s="394"/>
      <c r="EH288" s="394"/>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row>
    <row r="289" spans="2:165" x14ac:dyDescent="0.15">
      <c r="B289" s="595"/>
      <c r="C289" s="595"/>
      <c r="D289" s="347"/>
      <c r="E289" s="397"/>
      <c r="F289" s="348"/>
      <c r="G289" s="348"/>
      <c r="H289" s="595"/>
      <c r="I289" s="595"/>
      <c r="J289" s="576"/>
      <c r="K289" s="595"/>
      <c r="L289" s="76"/>
      <c r="M289" s="348"/>
      <c r="N289" s="348"/>
      <c r="O289" s="348"/>
      <c r="P289" s="348"/>
      <c r="Q289" s="576"/>
      <c r="R289" s="576"/>
      <c r="S289" s="398"/>
      <c r="T289" s="79"/>
      <c r="U289" s="18"/>
      <c r="V289" s="18"/>
      <c r="W289" s="18"/>
      <c r="X289" s="18"/>
      <c r="Y289" s="18"/>
      <c r="Z289" s="18"/>
      <c r="AA289" s="18"/>
      <c r="AB289" s="576"/>
      <c r="AC289" s="18"/>
      <c r="AD289" s="18"/>
      <c r="AE289" s="18"/>
      <c r="AF289" s="18"/>
      <c r="AG289" s="18"/>
      <c r="AH289" s="18"/>
      <c r="AI289" s="18"/>
      <c r="AJ289" s="18"/>
      <c r="AK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392"/>
      <c r="CS289" s="392"/>
      <c r="CT289" s="392"/>
      <c r="CU289" s="392"/>
      <c r="CV289" s="392"/>
      <c r="CW289" s="392"/>
      <c r="CX289" s="392"/>
      <c r="CY289" s="392"/>
      <c r="CZ289" s="392"/>
      <c r="DA289" s="392"/>
      <c r="DB289" s="392"/>
      <c r="DC289" s="392"/>
      <c r="DD289" s="76"/>
      <c r="DE289" s="392"/>
      <c r="DF289" s="392"/>
      <c r="DG289" s="392"/>
      <c r="DH289" s="392"/>
      <c r="DI289" s="392"/>
      <c r="DJ289" s="397"/>
      <c r="DK289" s="80"/>
      <c r="DL289" s="392"/>
      <c r="DM289" s="392"/>
      <c r="DN289" s="392"/>
      <c r="DO289" s="392"/>
      <c r="DP289" s="392"/>
      <c r="DQ289" s="392"/>
      <c r="DR289" s="392"/>
      <c r="DS289" s="392"/>
      <c r="DT289" s="392"/>
      <c r="DU289" s="392"/>
      <c r="DV289" s="392"/>
      <c r="DW289" s="394"/>
      <c r="DX289" s="394"/>
      <c r="DY289" s="394"/>
      <c r="DZ289" s="394"/>
      <c r="EA289" s="394"/>
      <c r="EB289" s="394"/>
      <c r="EC289" s="394"/>
      <c r="ED289" s="394"/>
      <c r="EE289" s="394"/>
      <c r="EF289" s="394"/>
      <c r="EG289" s="394"/>
      <c r="EH289" s="394"/>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row>
    <row r="290" spans="2:165" x14ac:dyDescent="0.15">
      <c r="B290" s="595"/>
      <c r="C290" s="595"/>
      <c r="D290" s="391"/>
      <c r="E290" s="576"/>
      <c r="F290" s="348"/>
      <c r="G290" s="348"/>
      <c r="H290" s="595"/>
      <c r="I290" s="595"/>
      <c r="J290" s="576"/>
      <c r="K290" s="595"/>
      <c r="L290" s="76"/>
      <c r="M290" s="348"/>
      <c r="N290" s="348"/>
      <c r="O290" s="348"/>
      <c r="P290" s="348"/>
      <c r="Q290" s="576"/>
      <c r="R290" s="576"/>
      <c r="S290" s="398"/>
      <c r="T290" s="79"/>
      <c r="U290" s="18"/>
      <c r="V290" s="18"/>
      <c r="W290" s="18"/>
      <c r="X290" s="18"/>
      <c r="Y290" s="18"/>
      <c r="Z290" s="18"/>
      <c r="AA290" s="18"/>
      <c r="AB290" s="18"/>
      <c r="AC290" s="18"/>
      <c r="AD290" s="18"/>
      <c r="AE290" s="595"/>
      <c r="AF290" s="595"/>
      <c r="AG290" s="595"/>
      <c r="AH290" s="576"/>
      <c r="AI290" s="595"/>
      <c r="AJ290" s="595"/>
      <c r="AK290" s="18"/>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18"/>
      <c r="CO290" s="18"/>
      <c r="CP290" s="18"/>
      <c r="CQ290" s="18"/>
      <c r="CR290" s="392"/>
      <c r="CS290" s="392"/>
      <c r="CT290" s="392"/>
      <c r="CU290" s="392"/>
      <c r="CV290" s="392"/>
      <c r="CW290" s="392"/>
      <c r="CX290" s="392"/>
      <c r="CY290" s="392"/>
      <c r="CZ290" s="392"/>
      <c r="DA290" s="392"/>
      <c r="DB290" s="392"/>
      <c r="DC290" s="392"/>
      <c r="DD290" s="76"/>
      <c r="DE290" s="392"/>
      <c r="DF290" s="392"/>
      <c r="DG290" s="392"/>
      <c r="DH290" s="392"/>
      <c r="DI290" s="392"/>
      <c r="DJ290" s="397"/>
      <c r="DK290" s="80"/>
      <c r="DL290" s="392"/>
      <c r="DM290" s="392"/>
      <c r="DN290" s="392"/>
      <c r="DO290" s="392"/>
      <c r="DP290" s="392"/>
      <c r="DQ290" s="392"/>
      <c r="DR290" s="392"/>
      <c r="DS290" s="392"/>
      <c r="DT290" s="392"/>
      <c r="DU290" s="392"/>
      <c r="DV290" s="392"/>
      <c r="DW290" s="394"/>
      <c r="DX290" s="394"/>
      <c r="DY290" s="394"/>
      <c r="DZ290" s="394"/>
      <c r="EA290" s="394"/>
      <c r="EB290" s="394"/>
      <c r="EC290" s="394"/>
      <c r="ED290" s="394"/>
      <c r="EE290" s="394"/>
      <c r="EF290" s="394"/>
      <c r="EG290" s="394"/>
      <c r="EH290" s="394"/>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row>
    <row r="291" spans="2:165" x14ac:dyDescent="0.15">
      <c r="B291" s="576"/>
      <c r="C291" s="576"/>
      <c r="D291" s="576"/>
      <c r="E291" s="576"/>
      <c r="F291" s="576"/>
      <c r="G291" s="576"/>
      <c r="H291" s="576"/>
      <c r="I291" s="348"/>
      <c r="J291" s="576"/>
      <c r="K291" s="576"/>
      <c r="L291" s="576"/>
      <c r="M291" s="576"/>
      <c r="N291" s="576"/>
      <c r="O291" s="576"/>
      <c r="P291" s="595"/>
      <c r="Q291" s="595"/>
      <c r="R291" s="576"/>
      <c r="S291" s="576"/>
      <c r="T291" s="595"/>
      <c r="U291" s="576"/>
      <c r="V291" s="576"/>
      <c r="W291" s="576"/>
      <c r="X291" s="576"/>
      <c r="Y291" s="576"/>
      <c r="Z291" s="576"/>
      <c r="AA291" s="576"/>
      <c r="AB291" s="576"/>
      <c r="AC291" s="576"/>
      <c r="AD291" s="576"/>
      <c r="AE291" s="576"/>
      <c r="AF291" s="576"/>
      <c r="AG291" s="595"/>
      <c r="AH291" s="595"/>
      <c r="AI291" s="595"/>
      <c r="AJ291" s="595"/>
      <c r="AK291" s="9"/>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595"/>
      <c r="CP291" s="595"/>
      <c r="CQ291" s="58"/>
      <c r="CR291" s="595"/>
      <c r="CS291" s="595"/>
      <c r="CT291" s="595"/>
      <c r="CU291" s="595"/>
      <c r="CV291" s="392"/>
      <c r="CW291" s="392"/>
      <c r="CX291" s="392"/>
      <c r="CY291" s="392"/>
      <c r="CZ291" s="392"/>
      <c r="DA291" s="392"/>
      <c r="DB291" s="392"/>
      <c r="DC291" s="392"/>
      <c r="DD291" s="392"/>
      <c r="DE291" s="392"/>
      <c r="DF291" s="392"/>
      <c r="DG291" s="76"/>
      <c r="DH291" s="392"/>
      <c r="DI291" s="76"/>
      <c r="DJ291" s="392"/>
      <c r="DK291" s="76"/>
      <c r="DL291" s="392"/>
      <c r="DM291" s="392"/>
      <c r="DN291" s="392"/>
      <c r="DO291" s="392"/>
      <c r="DP291" s="392"/>
      <c r="DQ291" s="397"/>
      <c r="DR291" s="80"/>
      <c r="DS291" s="392"/>
      <c r="DT291" s="392"/>
      <c r="DU291" s="392"/>
      <c r="DV291" s="392"/>
      <c r="DW291" s="392"/>
      <c r="DX291" s="71"/>
      <c r="DY291" s="392"/>
      <c r="DZ291" s="392"/>
      <c r="EA291" s="392"/>
      <c r="EB291" s="392"/>
      <c r="EC291" s="392"/>
      <c r="ED291" s="392"/>
      <c r="EE291" s="392"/>
      <c r="EF291" s="392"/>
      <c r="EG291" s="392"/>
      <c r="EH291" s="392"/>
      <c r="EI291" s="392"/>
      <c r="EJ291" s="392"/>
      <c r="EK291" s="392"/>
      <c r="EL291" s="392"/>
      <c r="EM291" s="392"/>
      <c r="EN291" s="392"/>
      <c r="EO291" s="392"/>
      <c r="EP291" s="392"/>
      <c r="EQ291" s="392"/>
      <c r="ER291" s="392"/>
      <c r="ES291" s="392"/>
      <c r="ET291" s="392"/>
      <c r="EU291" s="392"/>
      <c r="EV291" s="392"/>
      <c r="EW291" s="392"/>
      <c r="EX291" s="392"/>
      <c r="EY291" s="392"/>
      <c r="EZ291" s="392"/>
      <c r="FA291" s="392"/>
      <c r="FB291" s="392"/>
      <c r="FC291" s="392"/>
      <c r="FD291" s="392"/>
      <c r="FE291" s="392"/>
      <c r="FF291" s="392"/>
      <c r="FG291" s="392"/>
      <c r="FH291" s="392"/>
      <c r="FI291" s="392"/>
    </row>
    <row r="292" spans="2:165" x14ac:dyDescent="0.15">
      <c r="B292" s="576"/>
      <c r="C292" s="576"/>
      <c r="D292" s="595"/>
      <c r="E292" s="595"/>
      <c r="F292" s="576"/>
      <c r="G292" s="576"/>
      <c r="H292" s="576"/>
      <c r="I292" s="595"/>
      <c r="J292" s="576"/>
      <c r="K292" s="576"/>
      <c r="L292" s="595"/>
      <c r="M292" s="595"/>
      <c r="N292" s="576"/>
      <c r="O292" s="595"/>
      <c r="P292" s="595"/>
      <c r="Q292" s="595"/>
      <c r="R292" s="576"/>
      <c r="S292" s="595"/>
      <c r="T292" s="595"/>
      <c r="U292" s="595"/>
      <c r="V292" s="595"/>
      <c r="W292" s="595"/>
      <c r="X292" s="595"/>
      <c r="Y292" s="576"/>
      <c r="Z292" s="595"/>
      <c r="AA292" s="595"/>
      <c r="AB292" s="595"/>
      <c r="AC292" s="595"/>
      <c r="AD292" s="595"/>
      <c r="AE292" s="595"/>
      <c r="AF292" s="595"/>
      <c r="AG292" s="595"/>
      <c r="AH292" s="595"/>
      <c r="AI292" s="595"/>
      <c r="AJ292" s="595"/>
      <c r="AK292" s="9"/>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595"/>
      <c r="CP292" s="595"/>
      <c r="CQ292" s="595"/>
      <c r="CR292" s="595"/>
      <c r="CS292" s="58"/>
      <c r="CT292" s="595"/>
      <c r="CU292" s="595"/>
      <c r="CV292" s="595"/>
      <c r="CW292" s="595"/>
      <c r="CX292" s="392"/>
      <c r="CY292" s="67"/>
      <c r="CZ292" s="392"/>
      <c r="DA292" s="392"/>
      <c r="DB292" s="392"/>
      <c r="DC292" s="392"/>
      <c r="DD292" s="392"/>
      <c r="DE292" s="392"/>
      <c r="DF292" s="392"/>
      <c r="DG292" s="392"/>
      <c r="DH292" s="392"/>
      <c r="DI292" s="392"/>
      <c r="DJ292" s="392"/>
      <c r="DK292" s="392"/>
      <c r="DL292" s="392"/>
      <c r="DM292" s="392"/>
      <c r="DN292" s="392"/>
      <c r="DO292" s="392"/>
      <c r="DP292" s="392"/>
      <c r="DQ292" s="392"/>
      <c r="DR292" s="392"/>
      <c r="DS292" s="392"/>
      <c r="DT292" s="392"/>
      <c r="DU292" s="392"/>
      <c r="DV292" s="392"/>
      <c r="DW292" s="392"/>
      <c r="DX292" s="392"/>
      <c r="DY292" s="392"/>
      <c r="DZ292" s="392"/>
      <c r="EA292" s="392"/>
      <c r="EB292" s="392"/>
      <c r="EC292" s="392"/>
      <c r="ED292" s="392"/>
      <c r="EE292" s="392"/>
      <c r="EF292" s="392"/>
      <c r="EG292" s="392"/>
      <c r="EH292" s="67"/>
      <c r="EI292" s="392"/>
      <c r="EJ292" s="392"/>
      <c r="EK292" s="392"/>
      <c r="EL292" s="392"/>
      <c r="EM292" s="392"/>
      <c r="EN292" s="392"/>
      <c r="EO292" s="392"/>
      <c r="EP292" s="392"/>
      <c r="EQ292" s="392"/>
      <c r="ER292" s="392"/>
      <c r="ES292" s="392"/>
      <c r="ET292" s="392"/>
      <c r="EU292" s="392"/>
      <c r="EV292" s="392"/>
      <c r="EW292" s="392"/>
      <c r="EX292" s="392"/>
      <c r="EY292" s="392"/>
      <c r="EZ292" s="67"/>
      <c r="FA292" s="392"/>
      <c r="FB292" s="392"/>
      <c r="FC292" s="392"/>
      <c r="FD292" s="392"/>
      <c r="FE292" s="392"/>
      <c r="FF292" s="392"/>
      <c r="FG292" s="392"/>
      <c r="FH292" s="392"/>
      <c r="FI292" s="392"/>
    </row>
    <row r="293" spans="2:165" x14ac:dyDescent="0.15">
      <c r="B293" s="595"/>
      <c r="C293" s="595"/>
      <c r="D293" s="401"/>
      <c r="E293" s="391"/>
      <c r="F293" s="595"/>
      <c r="G293" s="595"/>
      <c r="H293" s="595"/>
      <c r="I293" s="595"/>
      <c r="J293" s="576"/>
      <c r="K293" s="576"/>
      <c r="L293" s="576"/>
      <c r="M293" s="595"/>
      <c r="N293" s="595"/>
      <c r="O293" s="576"/>
      <c r="P293" s="576"/>
      <c r="Q293" s="576"/>
      <c r="R293" s="576"/>
      <c r="S293" s="576"/>
      <c r="T293" s="576"/>
      <c r="U293" s="576"/>
      <c r="V293" s="576"/>
      <c r="W293" s="595"/>
      <c r="X293" s="595"/>
      <c r="Y293" s="595"/>
      <c r="Z293" s="576"/>
      <c r="AA293" s="576"/>
      <c r="AB293" s="576"/>
      <c r="AC293" s="576"/>
      <c r="AD293" s="576"/>
      <c r="AE293" s="576"/>
      <c r="AF293" s="576"/>
      <c r="AG293" s="576"/>
      <c r="AH293" s="576"/>
      <c r="AI293" s="391"/>
      <c r="AJ293" s="576"/>
      <c r="AK293" s="9"/>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595"/>
      <c r="CP293" s="595"/>
      <c r="CQ293" s="595"/>
      <c r="CR293" s="595"/>
      <c r="CS293" s="58"/>
      <c r="CT293" s="595"/>
      <c r="CU293" s="595"/>
      <c r="CV293" s="595"/>
      <c r="CW293" s="67"/>
      <c r="CX293" s="392"/>
      <c r="CY293" s="392"/>
      <c r="CZ293" s="392"/>
      <c r="DA293" s="392"/>
      <c r="DB293" s="392"/>
      <c r="DC293" s="392"/>
      <c r="DD293" s="392"/>
      <c r="DE293" s="392"/>
      <c r="DF293" s="392"/>
      <c r="DG293" s="392"/>
      <c r="DH293" s="392"/>
      <c r="DI293" s="392"/>
      <c r="DJ293" s="392"/>
      <c r="DK293" s="392"/>
      <c r="DL293" s="392"/>
      <c r="DM293" s="392"/>
      <c r="DN293" s="392"/>
      <c r="DO293" s="392"/>
      <c r="DP293" s="392"/>
      <c r="DQ293" s="392"/>
      <c r="DR293" s="392"/>
      <c r="DS293" s="392"/>
      <c r="DT293" s="392"/>
      <c r="DU293" s="392"/>
      <c r="DV293" s="392"/>
      <c r="DW293" s="392"/>
      <c r="DX293" s="392"/>
      <c r="DY293" s="392"/>
      <c r="DZ293" s="392"/>
      <c r="EA293" s="392"/>
      <c r="EB293" s="392"/>
      <c r="EC293" s="392"/>
      <c r="ED293" s="392"/>
      <c r="EE293" s="392"/>
      <c r="EF293" s="392"/>
      <c r="EG293" s="392"/>
      <c r="EH293" s="392"/>
      <c r="EI293" s="392"/>
      <c r="EJ293" s="67"/>
      <c r="EK293" s="67"/>
      <c r="EL293" s="67"/>
      <c r="EM293" s="67"/>
      <c r="EN293" s="392"/>
      <c r="EO293" s="392"/>
      <c r="EP293" s="67"/>
      <c r="EQ293" s="392"/>
      <c r="ER293" s="392"/>
      <c r="ES293" s="392"/>
      <c r="ET293" s="392"/>
      <c r="EU293" s="392"/>
      <c r="EV293" s="392"/>
      <c r="EW293" s="392"/>
      <c r="EX293" s="392"/>
      <c r="EY293" s="392"/>
      <c r="EZ293" s="392"/>
      <c r="FA293" s="392"/>
      <c r="FB293" s="392"/>
      <c r="FC293" s="392"/>
      <c r="FD293" s="392"/>
      <c r="FE293" s="392"/>
      <c r="FF293" s="392"/>
      <c r="FG293" s="392"/>
      <c r="FH293" s="392"/>
      <c r="FI293" s="392"/>
    </row>
    <row r="294" spans="2:165" x14ac:dyDescent="0.15">
      <c r="B294" s="595"/>
      <c r="C294" s="595"/>
      <c r="D294" s="576"/>
      <c r="E294" s="595"/>
      <c r="F294" s="595"/>
      <c r="G294" s="595"/>
      <c r="H294" s="595"/>
      <c r="I294" s="595"/>
      <c r="J294" s="576"/>
      <c r="K294" s="576"/>
      <c r="L294" s="595"/>
      <c r="M294" s="595"/>
      <c r="N294" s="595"/>
      <c r="O294" s="576"/>
      <c r="P294" s="576"/>
      <c r="Q294" s="595"/>
      <c r="R294" s="595"/>
      <c r="S294" s="576"/>
      <c r="T294" s="576"/>
      <c r="U294" s="576"/>
      <c r="V294" s="576"/>
      <c r="W294" s="576"/>
      <c r="X294" s="576"/>
      <c r="Y294" s="576"/>
      <c r="Z294" s="52"/>
      <c r="AA294" s="52"/>
      <c r="AB294" s="52"/>
      <c r="AC294" s="52"/>
      <c r="AD294" s="52"/>
      <c r="AE294" s="52"/>
      <c r="AF294" s="576"/>
      <c r="AG294" s="576"/>
      <c r="AH294" s="595"/>
      <c r="AI294" s="576"/>
      <c r="AJ294" s="595"/>
      <c r="AK294" s="9"/>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348"/>
      <c r="CP294" s="595"/>
      <c r="CQ294" s="595"/>
      <c r="CR294" s="67"/>
      <c r="CS294" s="595"/>
      <c r="CT294" s="595"/>
      <c r="CU294" s="595"/>
      <c r="CV294" s="595"/>
      <c r="CW294" s="67"/>
      <c r="CX294" s="392"/>
      <c r="CY294" s="392"/>
      <c r="CZ294" s="392"/>
      <c r="DA294" s="392"/>
      <c r="DB294" s="392"/>
      <c r="DC294" s="392"/>
      <c r="DD294" s="392"/>
      <c r="DE294" s="392"/>
      <c r="DF294" s="392"/>
      <c r="DG294" s="392"/>
      <c r="DH294" s="392"/>
      <c r="DI294" s="392"/>
      <c r="DJ294" s="392"/>
      <c r="DK294" s="392"/>
      <c r="DL294" s="392"/>
      <c r="DM294" s="392"/>
      <c r="DN294" s="392"/>
      <c r="DO294" s="392"/>
      <c r="DP294" s="392"/>
      <c r="DQ294" s="392"/>
      <c r="DR294" s="392"/>
      <c r="DS294" s="392"/>
      <c r="DT294" s="392"/>
      <c r="DU294" s="392"/>
      <c r="DV294" s="392"/>
      <c r="DW294" s="392"/>
      <c r="DX294" s="392"/>
      <c r="DY294" s="392"/>
      <c r="DZ294" s="392"/>
      <c r="EA294" s="392"/>
      <c r="EB294" s="392"/>
      <c r="EC294" s="392"/>
      <c r="ED294" s="392"/>
      <c r="EE294" s="392"/>
      <c r="EF294" s="392"/>
      <c r="EG294" s="392"/>
      <c r="EH294" s="392"/>
      <c r="EI294" s="392"/>
      <c r="EJ294" s="392"/>
      <c r="EK294" s="392"/>
      <c r="EL294" s="52"/>
      <c r="EM294" s="52"/>
      <c r="EN294" s="392"/>
      <c r="EO294" s="392"/>
      <c r="EP294" s="392"/>
      <c r="EQ294" s="52"/>
      <c r="ER294" s="52"/>
      <c r="ES294" s="392"/>
      <c r="ET294" s="392"/>
      <c r="EU294" s="392"/>
      <c r="EV294" s="392"/>
      <c r="EW294" s="392"/>
      <c r="EX294" s="392"/>
      <c r="EY294" s="392"/>
      <c r="EZ294" s="392"/>
      <c r="FA294" s="392"/>
      <c r="FB294" s="392"/>
      <c r="FC294" s="393"/>
      <c r="FD294" s="393"/>
      <c r="FE294" s="393"/>
      <c r="FF294" s="393"/>
      <c r="FG294" s="52"/>
      <c r="FH294" s="52"/>
      <c r="FI294" s="392"/>
    </row>
    <row r="295" spans="2:165" x14ac:dyDescent="0.15">
      <c r="B295" s="595"/>
      <c r="C295" s="595"/>
      <c r="D295" s="347"/>
      <c r="E295" s="397"/>
      <c r="F295" s="348"/>
      <c r="G295" s="348"/>
      <c r="H295" s="348"/>
      <c r="I295" s="348"/>
      <c r="J295" s="348"/>
      <c r="K295" s="348"/>
      <c r="L295" s="402"/>
      <c r="M295" s="348"/>
      <c r="N295" s="595"/>
      <c r="O295" s="595"/>
      <c r="P295" s="576"/>
      <c r="Q295" s="595"/>
      <c r="R295" s="347"/>
      <c r="S295" s="576"/>
      <c r="T295" s="576"/>
      <c r="U295" s="400"/>
      <c r="V295" s="400"/>
      <c r="W295" s="58"/>
      <c r="X295" s="58"/>
      <c r="Y295" s="348"/>
      <c r="Z295" s="348"/>
      <c r="AA295" s="348"/>
      <c r="AB295" s="348"/>
      <c r="AC295" s="348"/>
      <c r="AD295" s="348"/>
      <c r="AE295" s="348"/>
      <c r="AF295" s="348"/>
      <c r="AG295" s="58"/>
      <c r="AH295" s="58"/>
      <c r="AI295" s="58"/>
      <c r="AJ295" s="576"/>
      <c r="AK295" s="9"/>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595"/>
      <c r="CP295" s="595"/>
      <c r="CQ295" s="595"/>
      <c r="CR295" s="595"/>
      <c r="CS295" s="595"/>
      <c r="CT295" s="595"/>
      <c r="CU295" s="595"/>
      <c r="CV295" s="595"/>
      <c r="CW295" s="67"/>
      <c r="CX295" s="392"/>
      <c r="CY295" s="392"/>
      <c r="CZ295" s="392"/>
      <c r="DA295" s="392"/>
      <c r="DB295" s="392"/>
      <c r="DC295" s="392"/>
      <c r="DD295" s="392"/>
      <c r="DE295" s="392"/>
      <c r="DF295" s="392"/>
      <c r="DG295" s="392"/>
      <c r="DH295" s="392"/>
      <c r="DI295" s="392"/>
      <c r="DJ295" s="392"/>
      <c r="DK295" s="392"/>
      <c r="DL295" s="76"/>
      <c r="DM295" s="392"/>
      <c r="DN295" s="76"/>
      <c r="DO295" s="392"/>
      <c r="DP295" s="76"/>
      <c r="DQ295" s="392"/>
      <c r="DR295" s="392"/>
      <c r="DS295" s="392"/>
      <c r="DT295" s="392"/>
      <c r="DU295" s="392"/>
      <c r="DV295" s="397"/>
      <c r="DW295" s="80"/>
      <c r="DX295" s="392"/>
      <c r="DY295" s="392"/>
      <c r="DZ295" s="392"/>
      <c r="EA295" s="392"/>
      <c r="EB295" s="392"/>
      <c r="EC295" s="392"/>
      <c r="ED295" s="392"/>
      <c r="EE295" s="392"/>
      <c r="EF295" s="392"/>
      <c r="EG295" s="392"/>
      <c r="EH295" s="392"/>
      <c r="EI295" s="392"/>
      <c r="EJ295" s="392"/>
      <c r="EK295" s="392"/>
      <c r="EL295" s="392"/>
      <c r="EM295" s="392"/>
      <c r="EN295" s="392"/>
      <c r="EO295" s="392"/>
      <c r="EP295" s="392"/>
      <c r="EQ295" s="392"/>
      <c r="ER295" s="392"/>
      <c r="ES295" s="392"/>
      <c r="ET295" s="392"/>
      <c r="EU295" s="392"/>
      <c r="EV295" s="392"/>
      <c r="EW295" s="392"/>
      <c r="EX295" s="392"/>
      <c r="EY295" s="392"/>
      <c r="EZ295" s="392"/>
      <c r="FA295" s="392"/>
      <c r="FB295" s="392"/>
      <c r="FC295" s="392"/>
      <c r="FD295" s="392"/>
      <c r="FE295" s="392"/>
      <c r="FF295" s="392"/>
      <c r="FG295" s="392"/>
      <c r="FH295" s="392"/>
      <c r="FI295" s="392"/>
    </row>
    <row r="296" spans="2:165" x14ac:dyDescent="0.15">
      <c r="B296" s="595"/>
      <c r="C296" s="595"/>
      <c r="D296" s="347"/>
      <c r="E296" s="595"/>
      <c r="F296" s="348"/>
      <c r="G296" s="348"/>
      <c r="H296" s="348"/>
      <c r="I296" s="348"/>
      <c r="J296" s="348"/>
      <c r="K296" s="348"/>
      <c r="L296" s="402"/>
      <c r="M296" s="348"/>
      <c r="N296" s="595"/>
      <c r="O296" s="576"/>
      <c r="P296" s="576"/>
      <c r="Q296" s="595"/>
      <c r="R296" s="347"/>
      <c r="S296" s="576"/>
      <c r="T296" s="576"/>
      <c r="U296" s="400"/>
      <c r="V296" s="400"/>
      <c r="W296" s="58"/>
      <c r="X296" s="58"/>
      <c r="Y296" s="348"/>
      <c r="Z296" s="348"/>
      <c r="AA296" s="348"/>
      <c r="AB296" s="348"/>
      <c r="AC296" s="348"/>
      <c r="AD296" s="348"/>
      <c r="AE296" s="348"/>
      <c r="AF296" s="348"/>
      <c r="AG296" s="58"/>
      <c r="AH296" s="58"/>
      <c r="AI296" s="58"/>
      <c r="AJ296" s="576"/>
      <c r="AK296" s="9"/>
      <c r="AO296" s="23"/>
      <c r="AP296" s="23"/>
      <c r="AQ296" s="23"/>
      <c r="CN296" s="23"/>
      <c r="CO296" s="595"/>
      <c r="CP296" s="595"/>
      <c r="CQ296" s="595"/>
      <c r="CR296" s="595"/>
      <c r="CS296" s="595"/>
      <c r="CT296" s="595"/>
      <c r="CU296" s="595"/>
      <c r="CV296" s="595"/>
      <c r="CW296" s="67"/>
      <c r="CX296" s="392"/>
      <c r="CY296" s="392"/>
      <c r="CZ296" s="392"/>
      <c r="DA296" s="392"/>
      <c r="DB296" s="392"/>
      <c r="DC296" s="392"/>
      <c r="DD296" s="392"/>
      <c r="DE296" s="392"/>
      <c r="DF296" s="392"/>
      <c r="DG296" s="392"/>
      <c r="DH296" s="392"/>
      <c r="DI296" s="392"/>
      <c r="DJ296" s="392"/>
      <c r="DK296" s="392"/>
      <c r="DL296" s="76"/>
      <c r="DM296" s="392"/>
      <c r="DN296" s="76"/>
      <c r="DO296" s="392"/>
      <c r="DP296" s="76"/>
      <c r="DQ296" s="392"/>
      <c r="DR296" s="392"/>
      <c r="DS296" s="392"/>
      <c r="DT296" s="392"/>
      <c r="DU296" s="392"/>
      <c r="DV296" s="397"/>
      <c r="DW296" s="80"/>
      <c r="DX296" s="392"/>
      <c r="DY296" s="392"/>
      <c r="DZ296" s="392"/>
      <c r="EA296" s="392"/>
      <c r="EB296" s="392"/>
      <c r="EC296" s="71"/>
      <c r="ED296" s="392"/>
      <c r="EE296" s="403"/>
      <c r="EF296" s="392"/>
      <c r="EG296" s="392"/>
      <c r="EH296" s="392"/>
      <c r="EI296" s="392"/>
      <c r="EJ296" s="392"/>
      <c r="EK296" s="392"/>
      <c r="EL296" s="392"/>
      <c r="EM296" s="392"/>
      <c r="EN296" s="392"/>
      <c r="EO296" s="392"/>
      <c r="EP296" s="392"/>
      <c r="EQ296" s="392"/>
      <c r="ER296" s="392"/>
      <c r="ES296" s="392"/>
      <c r="ET296" s="392"/>
      <c r="EU296" s="392"/>
      <c r="EV296" s="392"/>
      <c r="EW296" s="392"/>
      <c r="EX296" s="392"/>
      <c r="EY296" s="392"/>
      <c r="EZ296" s="392"/>
      <c r="FA296" s="392"/>
      <c r="FB296" s="392"/>
      <c r="FC296" s="392"/>
      <c r="FD296" s="392"/>
      <c r="FE296" s="392"/>
      <c r="FF296" s="392"/>
      <c r="FG296" s="392"/>
      <c r="FH296" s="392"/>
      <c r="FI296" s="392"/>
    </row>
    <row r="297" spans="2:165" x14ac:dyDescent="0.15">
      <c r="B297" s="595"/>
      <c r="C297" s="595"/>
      <c r="D297" s="404"/>
      <c r="E297" s="405"/>
      <c r="F297" s="348"/>
      <c r="G297" s="348"/>
      <c r="H297" s="348"/>
      <c r="I297" s="348"/>
      <c r="J297" s="595"/>
      <c r="K297" s="595"/>
      <c r="L297" s="402"/>
      <c r="M297" s="348"/>
      <c r="N297" s="595"/>
      <c r="O297" s="595"/>
      <c r="P297" s="576"/>
      <c r="Q297" s="595"/>
      <c r="R297" s="347"/>
      <c r="S297" s="576"/>
      <c r="T297" s="576"/>
      <c r="U297" s="400"/>
      <c r="V297" s="400"/>
      <c r="W297" s="58"/>
      <c r="X297" s="58"/>
      <c r="Y297" s="348"/>
      <c r="Z297" s="348"/>
      <c r="AA297" s="348"/>
      <c r="AB297" s="348"/>
      <c r="AC297" s="348"/>
      <c r="AD297" s="348"/>
      <c r="AE297" s="348"/>
      <c r="AF297" s="595"/>
      <c r="AG297" s="595"/>
      <c r="AH297" s="576"/>
      <c r="AI297" s="398"/>
      <c r="AJ297" s="79"/>
      <c r="AK297" s="2"/>
      <c r="CO297" s="595"/>
      <c r="CP297" s="595"/>
      <c r="CQ297" s="595"/>
      <c r="CR297" s="595"/>
      <c r="CS297" s="595"/>
      <c r="CT297" s="595"/>
      <c r="CU297" s="595"/>
      <c r="CV297" s="595"/>
      <c r="CW297" s="67"/>
      <c r="CX297" s="392"/>
      <c r="CY297" s="392"/>
      <c r="CZ297" s="392"/>
      <c r="DA297" s="392"/>
      <c r="DB297" s="392"/>
      <c r="DC297" s="392"/>
      <c r="DD297" s="392"/>
      <c r="DE297" s="392"/>
      <c r="DF297" s="392"/>
      <c r="DG297" s="392"/>
      <c r="DH297" s="392"/>
      <c r="DI297" s="392"/>
      <c r="DJ297" s="392"/>
      <c r="DK297" s="392"/>
      <c r="DL297" s="76"/>
      <c r="DM297" s="392"/>
      <c r="DN297" s="76"/>
      <c r="DO297" s="392"/>
      <c r="DP297" s="76"/>
      <c r="DQ297" s="392"/>
      <c r="DR297" s="392"/>
      <c r="DS297" s="392"/>
      <c r="DT297" s="392"/>
      <c r="DU297" s="392"/>
      <c r="DV297" s="397"/>
      <c r="DW297" s="80"/>
      <c r="DX297" s="392"/>
      <c r="DY297" s="392"/>
      <c r="DZ297" s="392"/>
      <c r="EA297" s="392"/>
      <c r="EB297" s="392"/>
      <c r="EC297" s="392"/>
      <c r="ED297" s="392"/>
      <c r="EE297" s="392"/>
      <c r="EF297" s="392"/>
      <c r="EG297" s="392"/>
      <c r="EH297" s="392"/>
      <c r="EI297" s="392"/>
      <c r="EJ297" s="392"/>
      <c r="EK297" s="392"/>
      <c r="EL297" s="392"/>
      <c r="EM297" s="392"/>
      <c r="EN297" s="392"/>
      <c r="EO297" s="392"/>
      <c r="EP297" s="392"/>
      <c r="EQ297" s="392"/>
      <c r="ER297" s="392"/>
      <c r="ES297" s="392"/>
      <c r="ET297" s="392"/>
      <c r="EU297" s="392"/>
      <c r="EV297" s="392"/>
      <c r="EW297" s="392"/>
      <c r="EX297" s="392"/>
      <c r="EY297" s="392"/>
      <c r="EZ297" s="392"/>
      <c r="FA297" s="392"/>
      <c r="FB297" s="392"/>
      <c r="FC297" s="392"/>
      <c r="FD297" s="392"/>
      <c r="FE297" s="392"/>
      <c r="FF297" s="392"/>
      <c r="FG297" s="392"/>
      <c r="FH297" s="392"/>
      <c r="FI297" s="392"/>
    </row>
    <row r="298" spans="2:165" x14ac:dyDescent="0.15">
      <c r="B298" s="595"/>
      <c r="C298" s="595"/>
      <c r="D298" s="404"/>
      <c r="E298" s="406"/>
      <c r="F298" s="348"/>
      <c r="G298" s="348"/>
      <c r="H298" s="348"/>
      <c r="I298" s="348"/>
      <c r="J298" s="595"/>
      <c r="K298" s="595"/>
      <c r="L298" s="402"/>
      <c r="M298" s="348"/>
      <c r="N298" s="595"/>
      <c r="O298" s="576"/>
      <c r="P298" s="576"/>
      <c r="Q298" s="595"/>
      <c r="R298" s="347"/>
      <c r="S298" s="576"/>
      <c r="T298" s="576"/>
      <c r="U298" s="400"/>
      <c r="V298" s="400"/>
      <c r="W298" s="58"/>
      <c r="X298" s="58"/>
      <c r="Y298" s="348"/>
      <c r="Z298" s="348"/>
      <c r="AA298" s="348"/>
      <c r="AB298" s="348"/>
      <c r="AC298" s="348"/>
      <c r="AD298" s="348"/>
      <c r="AE298" s="348"/>
      <c r="AF298" s="595"/>
      <c r="AG298" s="595"/>
      <c r="AH298" s="576"/>
      <c r="AI298" s="398"/>
      <c r="AJ298" s="79"/>
      <c r="AK298" s="2"/>
      <c r="CO298" s="595"/>
      <c r="CP298" s="595"/>
      <c r="CQ298" s="595"/>
      <c r="CR298" s="595"/>
      <c r="CS298" s="595"/>
      <c r="CT298" s="595"/>
      <c r="CU298" s="595"/>
      <c r="CV298" s="595"/>
      <c r="CW298" s="67"/>
      <c r="CX298" s="392"/>
      <c r="CY298" s="392"/>
      <c r="CZ298" s="392"/>
      <c r="DA298" s="392"/>
      <c r="DB298" s="392"/>
      <c r="DC298" s="392"/>
      <c r="DD298" s="392"/>
      <c r="DE298" s="392"/>
      <c r="DF298" s="392"/>
      <c r="DG298" s="392"/>
      <c r="DH298" s="392"/>
      <c r="DI298" s="392"/>
      <c r="DJ298" s="392"/>
      <c r="DK298" s="392"/>
      <c r="DL298" s="76"/>
      <c r="DM298" s="392"/>
      <c r="DN298" s="76"/>
      <c r="DO298" s="392"/>
      <c r="DP298" s="76"/>
      <c r="DQ298" s="392"/>
      <c r="DR298" s="392"/>
      <c r="DS298" s="392"/>
      <c r="DT298" s="392"/>
      <c r="DU298" s="392"/>
      <c r="DV298" s="397"/>
      <c r="DW298" s="80"/>
      <c r="DX298" s="392"/>
      <c r="DY298" s="392"/>
      <c r="DZ298" s="392"/>
      <c r="EA298" s="392"/>
      <c r="EB298" s="392"/>
      <c r="EC298" s="71"/>
      <c r="ED298" s="392"/>
      <c r="EE298" s="403"/>
      <c r="EF298" s="392"/>
      <c r="EG298" s="392"/>
      <c r="EH298" s="392"/>
      <c r="EI298" s="392"/>
      <c r="EJ298" s="392"/>
      <c r="EK298" s="392"/>
      <c r="EL298" s="392"/>
      <c r="EM298" s="392"/>
      <c r="EN298" s="392"/>
      <c r="EO298" s="392"/>
      <c r="EP298" s="392"/>
      <c r="EQ298" s="392"/>
      <c r="ER298" s="392"/>
      <c r="ES298" s="392"/>
      <c r="ET298" s="392"/>
      <c r="EU298" s="392"/>
      <c r="EV298" s="392"/>
      <c r="EW298" s="392"/>
      <c r="EX298" s="392"/>
      <c r="EY298" s="392"/>
      <c r="EZ298" s="392"/>
      <c r="FA298" s="392"/>
      <c r="FB298" s="392"/>
      <c r="FC298" s="392"/>
      <c r="FD298" s="392"/>
      <c r="FE298" s="392"/>
      <c r="FF298" s="392"/>
      <c r="FG298" s="392"/>
      <c r="FH298" s="392"/>
      <c r="FI298" s="392"/>
    </row>
    <row r="299" spans="2:165" x14ac:dyDescent="0.15">
      <c r="B299" s="595"/>
      <c r="C299" s="595"/>
      <c r="D299" s="595"/>
      <c r="E299" s="595"/>
      <c r="F299" s="595"/>
      <c r="G299" s="595"/>
      <c r="H299" s="402"/>
      <c r="I299" s="348"/>
      <c r="J299" s="595"/>
      <c r="K299" s="595"/>
      <c r="L299" s="576"/>
      <c r="M299" s="348"/>
      <c r="N299" s="595"/>
      <c r="O299" s="595"/>
      <c r="P299" s="595"/>
      <c r="Q299" s="595"/>
      <c r="R299" s="595"/>
      <c r="S299" s="595"/>
      <c r="T299" s="595"/>
      <c r="U299" s="595"/>
      <c r="V299" s="595"/>
      <c r="W299" s="595"/>
      <c r="X299" s="595"/>
      <c r="Y299" s="595"/>
      <c r="Z299" s="595"/>
      <c r="AA299" s="595"/>
      <c r="AB299" s="595"/>
      <c r="AC299" s="595"/>
      <c r="AD299" s="595"/>
      <c r="AE299" s="595"/>
      <c r="AF299" s="595"/>
      <c r="AG299" s="595"/>
      <c r="AH299" s="595"/>
      <c r="AI299" s="595"/>
      <c r="AJ299" s="595"/>
      <c r="AK299" s="2"/>
      <c r="CR299" s="3" t="s">
        <v>778</v>
      </c>
      <c r="CY299" s="3">
        <f>+CY277</f>
        <v>540</v>
      </c>
      <c r="CZ299" s="3">
        <f t="shared" ref="CZ299:FH300" si="344">+CZ277</f>
        <v>586034.00100000005</v>
      </c>
      <c r="DA299" s="3">
        <f t="shared" si="344"/>
        <v>540</v>
      </c>
      <c r="DB299" s="3">
        <f t="shared" si="344"/>
        <v>0</v>
      </c>
      <c r="DC299" s="3">
        <f t="shared" si="344"/>
        <v>0</v>
      </c>
      <c r="DD299" s="3">
        <f t="shared" si="344"/>
        <v>0</v>
      </c>
      <c r="DE299" s="3">
        <f t="shared" si="344"/>
        <v>0</v>
      </c>
      <c r="DF299" s="3">
        <f t="shared" si="344"/>
        <v>0</v>
      </c>
      <c r="DG299" s="3">
        <f t="shared" si="344"/>
        <v>0</v>
      </c>
      <c r="DH299" s="3">
        <f t="shared" si="344"/>
        <v>0</v>
      </c>
      <c r="DI299" s="3">
        <f t="shared" si="344"/>
        <v>0</v>
      </c>
      <c r="DJ299" s="3">
        <f t="shared" si="344"/>
        <v>0</v>
      </c>
      <c r="DK299" s="3">
        <f t="shared" si="344"/>
        <v>0</v>
      </c>
      <c r="DL299" s="3">
        <f t="shared" si="344"/>
        <v>0</v>
      </c>
      <c r="DM299" s="3">
        <f t="shared" si="344"/>
        <v>0</v>
      </c>
      <c r="DN299" s="3">
        <f t="shared" si="344"/>
        <v>0</v>
      </c>
      <c r="DO299" s="3">
        <f t="shared" si="344"/>
        <v>0</v>
      </c>
      <c r="DP299" s="3">
        <f t="shared" si="344"/>
        <v>0</v>
      </c>
      <c r="DQ299" s="3">
        <f t="shared" si="344"/>
        <v>0</v>
      </c>
      <c r="DR299" s="3">
        <f t="shared" si="344"/>
        <v>0</v>
      </c>
      <c r="DS299" s="3">
        <f t="shared" si="344"/>
        <v>0</v>
      </c>
      <c r="DT299" s="3">
        <f t="shared" si="344"/>
        <v>0</v>
      </c>
      <c r="DU299" s="3">
        <f t="shared" si="344"/>
        <v>0</v>
      </c>
      <c r="DV299" s="3">
        <f t="shared" si="344"/>
        <v>0</v>
      </c>
      <c r="DW299" s="3">
        <f t="shared" si="344"/>
        <v>0</v>
      </c>
      <c r="DX299" s="3">
        <f t="shared" si="344"/>
        <v>0</v>
      </c>
      <c r="DY299" s="3">
        <f t="shared" si="344"/>
        <v>0</v>
      </c>
      <c r="DZ299" s="3">
        <f t="shared" si="344"/>
        <v>0</v>
      </c>
      <c r="EA299" s="3">
        <f t="shared" si="344"/>
        <v>0</v>
      </c>
      <c r="EB299" s="3">
        <f t="shared" si="344"/>
        <v>0</v>
      </c>
      <c r="EC299" s="3">
        <f t="shared" si="344"/>
        <v>0</v>
      </c>
      <c r="ED299" s="3">
        <f t="shared" si="344"/>
        <v>0</v>
      </c>
      <c r="EE299" s="3">
        <f t="shared" si="344"/>
        <v>0</v>
      </c>
      <c r="EF299" s="3">
        <f t="shared" si="344"/>
        <v>0</v>
      </c>
      <c r="EG299" s="3">
        <f t="shared" si="344"/>
        <v>0</v>
      </c>
      <c r="EH299" s="3">
        <f t="shared" si="344"/>
        <v>0</v>
      </c>
      <c r="EI299" s="3">
        <f t="shared" si="344"/>
        <v>0</v>
      </c>
      <c r="EJ299" s="3">
        <f t="shared" si="344"/>
        <v>0</v>
      </c>
      <c r="EK299" s="3">
        <f t="shared" si="344"/>
        <v>0</v>
      </c>
      <c r="EL299" s="3">
        <f t="shared" si="344"/>
        <v>0</v>
      </c>
      <c r="EM299" s="3">
        <f t="shared" si="344"/>
        <v>0</v>
      </c>
      <c r="EN299" s="3">
        <f t="shared" si="344"/>
        <v>0</v>
      </c>
      <c r="EO299" s="3">
        <f t="shared" si="344"/>
        <v>0</v>
      </c>
      <c r="EP299" s="3" t="str">
        <f t="shared" si="344"/>
        <v>N/cm</v>
      </c>
      <c r="EQ299" s="3" t="str">
        <f t="shared" si="344"/>
        <v>屋根</v>
      </c>
      <c r="ER299" s="3">
        <f t="shared" si="344"/>
        <v>0</v>
      </c>
      <c r="ES299" s="3">
        <f t="shared" si="344"/>
        <v>0</v>
      </c>
      <c r="ET299" s="3">
        <f t="shared" si="344"/>
        <v>0</v>
      </c>
      <c r="EU299" s="3">
        <f t="shared" si="344"/>
        <v>0</v>
      </c>
      <c r="EV299" s="3">
        <f t="shared" si="344"/>
        <v>0</v>
      </c>
      <c r="EW299" s="3">
        <f t="shared" si="344"/>
        <v>0</v>
      </c>
      <c r="EX299" s="3">
        <f t="shared" si="344"/>
        <v>0</v>
      </c>
      <c r="EY299" s="3">
        <f t="shared" si="344"/>
        <v>0</v>
      </c>
      <c r="EZ299" s="3">
        <f t="shared" si="344"/>
        <v>0</v>
      </c>
      <c r="FA299" s="3">
        <f t="shared" si="344"/>
        <v>0</v>
      </c>
      <c r="FB299" s="3">
        <f t="shared" si="344"/>
        <v>0</v>
      </c>
      <c r="FC299" s="3">
        <f t="shared" si="344"/>
        <v>0</v>
      </c>
      <c r="FD299" s="3">
        <f t="shared" si="344"/>
        <v>0</v>
      </c>
      <c r="FE299" s="3" t="str">
        <f t="shared" si="344"/>
        <v>L</v>
      </c>
      <c r="FF299" s="3">
        <f t="shared" si="344"/>
        <v>0</v>
      </c>
      <c r="FG299" s="3" t="str">
        <f t="shared" si="344"/>
        <v>S</v>
      </c>
      <c r="FH299" s="3">
        <f t="shared" si="344"/>
        <v>0</v>
      </c>
    </row>
    <row r="300" spans="2:165" x14ac:dyDescent="0.15">
      <c r="B300" s="595"/>
      <c r="C300" s="595"/>
      <c r="D300" s="595"/>
      <c r="E300" s="595"/>
      <c r="F300" s="595"/>
      <c r="G300" s="595"/>
      <c r="H300" s="402"/>
      <c r="I300" s="348"/>
      <c r="J300" s="595"/>
      <c r="K300" s="595"/>
      <c r="L300" s="576"/>
      <c r="M300" s="348"/>
      <c r="N300" s="595"/>
      <c r="O300" s="595"/>
      <c r="P300" s="595"/>
      <c r="Q300" s="595"/>
      <c r="R300" s="595"/>
      <c r="S300" s="595"/>
      <c r="T300" s="595"/>
      <c r="U300" s="595"/>
      <c r="V300" s="595"/>
      <c r="W300" s="595"/>
      <c r="X300" s="595"/>
      <c r="Y300" s="595"/>
      <c r="Z300" s="595"/>
      <c r="AA300" s="595"/>
      <c r="AB300" s="595"/>
      <c r="AC300" s="595"/>
      <c r="AD300" s="595"/>
      <c r="AE300" s="595"/>
      <c r="AF300" s="595"/>
      <c r="AG300" s="595"/>
      <c r="AH300" s="595"/>
      <c r="AI300" s="595"/>
      <c r="AJ300" s="595"/>
      <c r="AK300" s="2"/>
      <c r="CR300" s="3" t="s">
        <v>916</v>
      </c>
      <c r="CT300" s="3" t="s">
        <v>917</v>
      </c>
      <c r="CY300" s="3">
        <f>+CY278</f>
        <v>0</v>
      </c>
      <c r="CZ300" s="3">
        <f t="shared" si="344"/>
        <v>0</v>
      </c>
      <c r="DA300" s="3">
        <f t="shared" si="344"/>
        <v>0</v>
      </c>
      <c r="DB300" s="3">
        <f t="shared" si="344"/>
        <v>0</v>
      </c>
      <c r="DC300" s="3">
        <f t="shared" si="344"/>
        <v>0</v>
      </c>
      <c r="DD300" s="3">
        <f t="shared" si="344"/>
        <v>0</v>
      </c>
      <c r="DE300" s="3">
        <f t="shared" si="344"/>
        <v>0</v>
      </c>
      <c r="DF300" s="3">
        <f t="shared" si="344"/>
        <v>0</v>
      </c>
      <c r="DG300" s="3">
        <f t="shared" si="344"/>
        <v>0</v>
      </c>
      <c r="DH300" s="3">
        <f t="shared" si="344"/>
        <v>0</v>
      </c>
      <c r="DI300" s="3">
        <f t="shared" si="344"/>
        <v>0</v>
      </c>
      <c r="DJ300" s="3">
        <f t="shared" si="344"/>
        <v>0</v>
      </c>
      <c r="DK300" s="3">
        <f t="shared" si="344"/>
        <v>0</v>
      </c>
      <c r="DL300" s="3">
        <f t="shared" si="344"/>
        <v>0</v>
      </c>
      <c r="DM300" s="3">
        <f t="shared" si="344"/>
        <v>0</v>
      </c>
      <c r="DN300" s="3">
        <f t="shared" si="344"/>
        <v>0</v>
      </c>
      <c r="DO300" s="3">
        <f t="shared" si="344"/>
        <v>0</v>
      </c>
      <c r="DP300" s="3">
        <f t="shared" si="344"/>
        <v>0</v>
      </c>
      <c r="DQ300" s="3">
        <f t="shared" si="344"/>
        <v>0</v>
      </c>
      <c r="DR300" s="3">
        <f t="shared" si="344"/>
        <v>0</v>
      </c>
      <c r="DS300" s="3">
        <f t="shared" si="344"/>
        <v>0</v>
      </c>
      <c r="DT300" s="3">
        <f t="shared" si="344"/>
        <v>0</v>
      </c>
      <c r="DU300" s="3">
        <f t="shared" si="344"/>
        <v>0</v>
      </c>
      <c r="DV300" s="3">
        <f t="shared" si="344"/>
        <v>0</v>
      </c>
      <c r="DW300" s="3">
        <f t="shared" si="344"/>
        <v>0</v>
      </c>
      <c r="DX300" s="3">
        <f t="shared" si="344"/>
        <v>0</v>
      </c>
      <c r="DY300" s="3">
        <f t="shared" si="344"/>
        <v>0</v>
      </c>
      <c r="DZ300" s="3">
        <f t="shared" si="344"/>
        <v>0</v>
      </c>
      <c r="EA300" s="3">
        <f t="shared" si="344"/>
        <v>0</v>
      </c>
      <c r="EB300" s="3">
        <f t="shared" si="344"/>
        <v>0</v>
      </c>
      <c r="EC300" s="3">
        <f t="shared" si="344"/>
        <v>0</v>
      </c>
      <c r="ED300" s="3">
        <f t="shared" si="344"/>
        <v>0</v>
      </c>
      <c r="EE300" s="3">
        <f t="shared" si="344"/>
        <v>0</v>
      </c>
      <c r="EF300" s="3">
        <f t="shared" si="344"/>
        <v>0</v>
      </c>
      <c r="EG300" s="3">
        <f t="shared" si="344"/>
        <v>0</v>
      </c>
      <c r="EH300" s="3">
        <f t="shared" si="344"/>
        <v>0</v>
      </c>
      <c r="EI300" s="3">
        <f t="shared" si="344"/>
        <v>0</v>
      </c>
      <c r="EJ300" s="3">
        <f t="shared" si="344"/>
        <v>0</v>
      </c>
      <c r="EK300" s="3">
        <f t="shared" si="344"/>
        <v>0</v>
      </c>
      <c r="EL300" s="3" t="str">
        <f t="shared" si="344"/>
        <v>Lσs</v>
      </c>
      <c r="EM300" s="3" t="str">
        <f t="shared" si="344"/>
        <v>Sσs</v>
      </c>
      <c r="EN300" s="3">
        <f t="shared" si="344"/>
        <v>0</v>
      </c>
      <c r="EO300" s="3">
        <f t="shared" si="344"/>
        <v>0</v>
      </c>
      <c r="EP300" s="3">
        <f t="shared" si="344"/>
        <v>0</v>
      </c>
      <c r="EQ300" s="3" t="str">
        <f t="shared" si="344"/>
        <v>Lσb</v>
      </c>
      <c r="ER300" s="3" t="str">
        <f t="shared" si="344"/>
        <v>Sσb</v>
      </c>
      <c r="ES300" s="3">
        <f t="shared" si="344"/>
        <v>0</v>
      </c>
      <c r="ET300" s="3">
        <f t="shared" si="344"/>
        <v>0</v>
      </c>
      <c r="EU300" s="3" t="str">
        <f t="shared" si="344"/>
        <v>E</v>
      </c>
      <c r="EV300" s="3">
        <f t="shared" si="344"/>
        <v>0</v>
      </c>
      <c r="EW300" s="3">
        <f t="shared" si="344"/>
        <v>0</v>
      </c>
      <c r="EX300" s="3">
        <f t="shared" si="344"/>
        <v>0</v>
      </c>
      <c r="EY300" s="3">
        <f t="shared" si="344"/>
        <v>0</v>
      </c>
      <c r="EZ300" s="3">
        <f t="shared" si="344"/>
        <v>0</v>
      </c>
      <c r="FA300" s="3">
        <f t="shared" si="344"/>
        <v>0</v>
      </c>
      <c r="FB300" s="3" t="str">
        <f t="shared" si="344"/>
        <v>柱有無</v>
      </c>
      <c r="FC300" s="3" t="str">
        <f t="shared" si="344"/>
        <v>δ'(1/)</v>
      </c>
      <c r="FD300" s="3" t="str">
        <f t="shared" si="344"/>
        <v>δ'</v>
      </c>
      <c r="FE300" s="3" t="str">
        <f t="shared" si="344"/>
        <v>δ'(1/)</v>
      </c>
      <c r="FF300" s="3" t="str">
        <f t="shared" si="344"/>
        <v>δ'</v>
      </c>
      <c r="FG300" s="3" t="str">
        <f t="shared" si="344"/>
        <v>δ/δ'</v>
      </c>
      <c r="FH300" s="3" t="str">
        <f t="shared" si="344"/>
        <v>δ/δ'</v>
      </c>
    </row>
    <row r="301" spans="2:165" x14ac:dyDescent="0.15">
      <c r="AJ301" s="2"/>
      <c r="AK301" s="2"/>
      <c r="CQ301" s="128">
        <v>1</v>
      </c>
      <c r="CR301" s="3">
        <f>ROUND((CS301/10-3)*POWER(CS301/10-3,2)/6,2)</f>
        <v>4.5</v>
      </c>
      <c r="CS301" s="3">
        <v>60</v>
      </c>
      <c r="CT301" s="3">
        <f>ROUND((CU301/10-3)*POWER(CU301/10-3,3)/12,2)</f>
        <v>6.75</v>
      </c>
      <c r="CU301" s="3">
        <v>60</v>
      </c>
      <c r="CY301" s="3">
        <f>+CY264</f>
        <v>0</v>
      </c>
      <c r="CZ301" s="3">
        <f t="shared" ref="CZ301:EG301" si="345">+CZ264</f>
        <v>0</v>
      </c>
      <c r="DA301" s="3">
        <f t="shared" si="345"/>
        <v>0</v>
      </c>
      <c r="DB301" s="3">
        <f t="shared" si="345"/>
        <v>0</v>
      </c>
      <c r="DC301" s="3">
        <f t="shared" si="345"/>
        <v>0</v>
      </c>
      <c r="DD301" s="3">
        <f t="shared" si="345"/>
        <v>0</v>
      </c>
      <c r="DE301" s="3">
        <f t="shared" si="345"/>
        <v>0</v>
      </c>
      <c r="DF301" s="3">
        <f t="shared" si="345"/>
        <v>0</v>
      </c>
      <c r="DG301" s="3">
        <f t="shared" si="345"/>
        <v>0</v>
      </c>
      <c r="DH301" s="3">
        <f t="shared" si="345"/>
        <v>0</v>
      </c>
      <c r="DI301" s="3">
        <f t="shared" si="345"/>
        <v>0</v>
      </c>
      <c r="DJ301" s="3">
        <f t="shared" si="345"/>
        <v>0</v>
      </c>
      <c r="DK301" s="3">
        <f t="shared" si="345"/>
        <v>0</v>
      </c>
      <c r="DL301" s="3">
        <f t="shared" si="345"/>
        <v>0</v>
      </c>
      <c r="DM301" s="3">
        <f t="shared" si="345"/>
        <v>0</v>
      </c>
      <c r="DN301" s="3">
        <f t="shared" si="345"/>
        <v>0</v>
      </c>
      <c r="DO301" s="3">
        <f t="shared" si="345"/>
        <v>0</v>
      </c>
      <c r="DP301" s="3">
        <f t="shared" si="345"/>
        <v>0</v>
      </c>
      <c r="DQ301" s="3">
        <f t="shared" si="345"/>
        <v>0</v>
      </c>
      <c r="DR301" s="3">
        <f t="shared" si="345"/>
        <v>0</v>
      </c>
      <c r="DS301" s="3">
        <f t="shared" si="345"/>
        <v>0</v>
      </c>
      <c r="DT301" s="3">
        <f t="shared" si="345"/>
        <v>0</v>
      </c>
      <c r="DU301" s="3">
        <f t="shared" si="345"/>
        <v>0</v>
      </c>
      <c r="DV301" s="3">
        <f t="shared" si="345"/>
        <v>0</v>
      </c>
      <c r="DW301" s="3">
        <f t="shared" si="345"/>
        <v>0</v>
      </c>
      <c r="DX301" s="3">
        <f t="shared" si="345"/>
        <v>0</v>
      </c>
      <c r="DY301" s="3">
        <f t="shared" si="345"/>
        <v>0</v>
      </c>
      <c r="DZ301" s="3">
        <f t="shared" si="345"/>
        <v>0</v>
      </c>
      <c r="EA301" s="3">
        <f t="shared" si="345"/>
        <v>0</v>
      </c>
      <c r="EB301" s="3">
        <f t="shared" si="345"/>
        <v>0</v>
      </c>
      <c r="EC301" s="3">
        <f t="shared" si="345"/>
        <v>0</v>
      </c>
      <c r="ED301" s="3">
        <f t="shared" si="345"/>
        <v>0</v>
      </c>
      <c r="EE301" s="3">
        <f t="shared" si="345"/>
        <v>0</v>
      </c>
      <c r="EF301" s="3">
        <f t="shared" si="345"/>
        <v>0</v>
      </c>
      <c r="EG301" s="3">
        <f t="shared" si="345"/>
        <v>0</v>
      </c>
      <c r="EH301" s="3" t="s">
        <v>918</v>
      </c>
      <c r="EI301" s="63" t="s">
        <v>919</v>
      </c>
      <c r="EJ301" s="63" t="s">
        <v>920</v>
      </c>
      <c r="EK301" s="63" t="s">
        <v>921</v>
      </c>
      <c r="EL301" s="63" t="s">
        <v>922</v>
      </c>
      <c r="EM301" s="63" t="s">
        <v>923</v>
      </c>
      <c r="EN301" s="63" t="s">
        <v>924</v>
      </c>
      <c r="EO301" s="63" t="s">
        <v>925</v>
      </c>
      <c r="EP301" s="63" t="s">
        <v>926</v>
      </c>
      <c r="EQ301" s="63" t="s">
        <v>927</v>
      </c>
      <c r="ER301" s="63" t="s">
        <v>928</v>
      </c>
      <c r="ES301" s="63" t="s">
        <v>929</v>
      </c>
      <c r="ET301" s="63" t="s">
        <v>930</v>
      </c>
      <c r="EU301" s="63" t="s">
        <v>931</v>
      </c>
      <c r="EV301" s="63" t="s">
        <v>932</v>
      </c>
      <c r="EW301" s="63" t="s">
        <v>933</v>
      </c>
      <c r="EX301" s="63" t="s">
        <v>934</v>
      </c>
      <c r="EY301" s="63" t="s">
        <v>935</v>
      </c>
      <c r="EZ301" s="3" t="s">
        <v>936</v>
      </c>
      <c r="FA301" s="63" t="s">
        <v>937</v>
      </c>
      <c r="FB301" s="63" t="s">
        <v>938</v>
      </c>
      <c r="FC301" s="63" t="s">
        <v>939</v>
      </c>
      <c r="FD301" s="63" t="s">
        <v>940</v>
      </c>
      <c r="FE301" s="63" t="s">
        <v>941</v>
      </c>
      <c r="FF301" s="63" t="s">
        <v>942</v>
      </c>
    </row>
    <row r="302" spans="2:165" x14ac:dyDescent="0.15">
      <c r="AJ302" s="2"/>
      <c r="AK302" s="2"/>
      <c r="CR302" s="3">
        <f>+CR301+0.001</f>
        <v>4.5010000000000003</v>
      </c>
      <c r="CS302" s="3">
        <v>75</v>
      </c>
      <c r="CT302" s="3">
        <f>+CT301+0.001</f>
        <v>6.7510000000000003</v>
      </c>
      <c r="CU302" s="3">
        <v>75</v>
      </c>
      <c r="CX302" s="3" t="s">
        <v>684</v>
      </c>
      <c r="CY302" s="63" t="e">
        <f>ROUNDUP(CY303/3,-1)*3</f>
        <v>#DIV/0!</v>
      </c>
      <c r="CZ302" s="63" t="e">
        <f>ROUNDUP(CZ303/3,-1)*3</f>
        <v>#DIV/0!</v>
      </c>
      <c r="DB302" s="63" t="e">
        <f>ROUNDUP(DB303/3,-1)*3</f>
        <v>#DIV/0!</v>
      </c>
      <c r="DC302" s="63" t="e">
        <f>ROUNDUP(DC303/3,-1)*3</f>
        <v>#DIV/0!</v>
      </c>
      <c r="DD302" s="155" t="e">
        <f>+MAX(CY302:DC302)</f>
        <v>#DIV/0!</v>
      </c>
      <c r="EO302" s="3" t="s">
        <v>943</v>
      </c>
      <c r="EP302" s="63">
        <f>IF($I$41=0,0,VLOOKUP(VALUE(RIGHT($I$40,4)),$CX$109:$CZ$114,3)/10000*(M299+M300)/2*100*I300*100)</f>
        <v>0</v>
      </c>
    </row>
    <row r="303" spans="2:165" x14ac:dyDescent="0.15">
      <c r="G303" s="595"/>
      <c r="H303" s="595"/>
      <c r="AJ303" s="2"/>
      <c r="AK303" s="2"/>
      <c r="CR303" s="3">
        <f>ROUND((CS303/10-3)*POWER(CS303/10-3,2)/6,2)</f>
        <v>15.19</v>
      </c>
      <c r="CS303" s="3">
        <v>75</v>
      </c>
      <c r="CT303" s="3">
        <f>ROUND((CU303/10-3)*POWER(CU303/10-3,3)/12,2)</f>
        <v>34.17</v>
      </c>
      <c r="CU303" s="3">
        <v>75</v>
      </c>
      <c r="CY303" s="63" t="e">
        <f>ROUND(SQRT(ROUND(CY304/DG267*6/(J267/10)/IF(T267=0,1,T267),1))*10,0)</f>
        <v>#DIV/0!</v>
      </c>
      <c r="CZ303" s="3" t="e">
        <f>POWER(ROUND(CZ304/(J267/10)*12,0)/IF(T267=0,1,T267)/DN267,1/3)*10</f>
        <v>#DIV/0!</v>
      </c>
      <c r="DA303" s="63"/>
      <c r="DB303" s="63" t="e">
        <f>ROUND(SQRT(ROUND(DB304/DG267*6/(J267/10)/IF(T267=0,1,T267),1))*10,2)</f>
        <v>#DIV/0!</v>
      </c>
      <c r="DC303" s="3" t="e">
        <f>POWER(ROUND(DC304/(J267/10)*12,0)/IF(T267=0,1,T267)/DT267,1/3)*10</f>
        <v>#DIV/0!</v>
      </c>
      <c r="EP303" s="63">
        <f>+EP302</f>
        <v>0</v>
      </c>
    </row>
    <row r="304" spans="2:165" x14ac:dyDescent="0.15">
      <c r="G304" s="595"/>
      <c r="H304" s="595"/>
      <c r="AJ304" s="2"/>
      <c r="AK304" s="2"/>
      <c r="CR304" s="3">
        <f>+CR303+0.001</f>
        <v>15.190999999999999</v>
      </c>
      <c r="CS304" s="3">
        <v>90</v>
      </c>
      <c r="CT304" s="3">
        <f>+CT303+0.001</f>
        <v>34.170999999999999</v>
      </c>
      <c r="CU304" s="3">
        <v>90</v>
      </c>
      <c r="CY304" s="63">
        <f>ROUNDUP(CW267*POWER(H267*100,2)/8,1)</f>
        <v>0</v>
      </c>
      <c r="CZ304" s="63">
        <v>0</v>
      </c>
      <c r="DA304" s="63"/>
      <c r="DB304" s="63">
        <f>ROUNDUP(CX267*POWER(H267*100,2)/8,1)</f>
        <v>0</v>
      </c>
      <c r="DC304" s="63">
        <v>1703.87</v>
      </c>
      <c r="EN304" s="87"/>
    </row>
    <row r="305" spans="36:108" x14ac:dyDescent="0.15">
      <c r="AJ305" s="2"/>
      <c r="AK305" s="2"/>
      <c r="CQ305" s="63"/>
      <c r="CR305" s="3">
        <f>ROUND((CS305/10-3)*POWER(CS305/10-3,2)/6,2)</f>
        <v>36</v>
      </c>
      <c r="CS305" s="3">
        <v>90</v>
      </c>
      <c r="CT305" s="3">
        <f>ROUND((CU305/10-3)*POWER(CU305/10-3,3)/12,2)</f>
        <v>108</v>
      </c>
      <c r="CU305" s="3">
        <v>90</v>
      </c>
      <c r="CX305" s="3" t="s">
        <v>778</v>
      </c>
      <c r="CY305" s="63"/>
    </row>
    <row r="306" spans="36:108" x14ac:dyDescent="0.15">
      <c r="CR306" s="3">
        <f>+CR305+0.001</f>
        <v>36.000999999999998</v>
      </c>
      <c r="CS306" s="3">
        <v>105</v>
      </c>
      <c r="CT306" s="3">
        <f>+CT305+0.001</f>
        <v>108.001</v>
      </c>
      <c r="CU306" s="3">
        <v>105</v>
      </c>
      <c r="CY306" s="63" t="e">
        <f>VLOOKUP(CY307,$CR$43:$CS$87,2)</f>
        <v>#DIV/0!</v>
      </c>
      <c r="CZ306" s="63" t="e">
        <f>VLOOKUP(CZ307,$CT$43:$CU$87,2)</f>
        <v>#VALUE!</v>
      </c>
      <c r="DB306" s="63" t="e">
        <f>VLOOKUP(DB307,$CR$43:$CS$87,2)</f>
        <v>#VALUE!</v>
      </c>
      <c r="DC306" s="63">
        <f>VLOOKUP(DC307,$CT$43:$CU$87,2)</f>
        <v>0</v>
      </c>
      <c r="DD306" s="155" t="e">
        <f>+MAX(CY306:DC306)</f>
        <v>#DIV/0!</v>
      </c>
    </row>
    <row r="307" spans="36:108" x14ac:dyDescent="0.15">
      <c r="CR307" s="3">
        <f>ROUND((CS307/10-3)*POWER(CS307/10-3,2)/6,2)</f>
        <v>70.31</v>
      </c>
      <c r="CS307" s="3">
        <v>105</v>
      </c>
      <c r="CT307" s="3">
        <f>ROUND((CU307/10-3)*POWER(CU307/10-3,3)/12,2)</f>
        <v>263.67</v>
      </c>
      <c r="CU307" s="3">
        <v>105</v>
      </c>
      <c r="CY307" s="63" t="e">
        <f>ROUNDUP($CW$9*POWER($H$8*100,2)/8/DG268,1)</f>
        <v>#DIV/0!</v>
      </c>
      <c r="CZ307" s="63">
        <v>0</v>
      </c>
      <c r="DB307" s="63" t="e">
        <f>ROUNDUP($CX$9*POWER($H$8*100,2)/8/$DH$9,1)</f>
        <v>#VALUE!</v>
      </c>
      <c r="DC307" s="63">
        <v>8.52</v>
      </c>
    </row>
    <row r="308" spans="36:108" x14ac:dyDescent="0.15">
      <c r="CR308" s="3">
        <f>+CR307+0.001</f>
        <v>70.311000000000007</v>
      </c>
      <c r="CS308" s="3">
        <v>120</v>
      </c>
      <c r="CT308" s="3">
        <f>+CT307+0.001</f>
        <v>263.67099999999999</v>
      </c>
      <c r="CU308" s="3">
        <v>120</v>
      </c>
      <c r="CY308" s="63" t="e">
        <f>ROUNDUP(CY309/3,-1)*3</f>
        <v>#DIV/0!</v>
      </c>
      <c r="CZ308" s="63" t="e">
        <f>ROUNDUP(CZ309/3,-1)*3</f>
        <v>#DIV/0!</v>
      </c>
      <c r="DB308" s="63" t="e">
        <f>ROUNDUP(DB309/3,-1)*3</f>
        <v>#DIV/0!</v>
      </c>
      <c r="DC308" s="63" t="e">
        <f>ROUNDUP(DC309/3,-1)*3</f>
        <v>#VALUE!</v>
      </c>
      <c r="DD308" s="155" t="e">
        <f>+MAX(CY308:DC308)</f>
        <v>#DIV/0!</v>
      </c>
    </row>
    <row r="309" spans="36:108" x14ac:dyDescent="0.15">
      <c r="CR309" s="3">
        <f>ROUND((CS309/10-3)*POWER(CS309/10-3,2)/6,2)</f>
        <v>121.5</v>
      </c>
      <c r="CS309" s="3">
        <v>120</v>
      </c>
      <c r="CT309" s="3">
        <f>ROUND((CU309/10-3)*POWER(CU309/10-3,3)/12,2)</f>
        <v>546.75</v>
      </c>
      <c r="CU309" s="3">
        <v>120</v>
      </c>
      <c r="CX309" s="3" t="s">
        <v>944</v>
      </c>
      <c r="CY309" s="87" t="e">
        <f>ROUNDUP(SQRT(CY310/($J$10/10)*6/IF(OR($AA$10=0,$AA$10=1),1,$AA$10))*10,0)</f>
        <v>#DIV/0!</v>
      </c>
      <c r="CZ309" s="87" t="e">
        <f>POWER(ROUND(CZ310/($J$10/10)*12/IF(OR($AA$10=0,$AA$10=1),1,$AA$10),0),1/3)*10</f>
        <v>#DIV/0!</v>
      </c>
      <c r="DB309" s="87" t="e">
        <f>ROUNDUP(SQRT(DB310/($J$10/10)*6/IF(OR($AA$10=0,$AA$10=1),1,$AA$10))*10,0)</f>
        <v>#DIV/0!</v>
      </c>
      <c r="DC309" s="87" t="e">
        <f>POWER(ROUND(DC310/($J$10/10)*12/IF(OR($AA$10=0,$AA$10=1),1,$AA$10),0),1/3)*10</f>
        <v>#VALUE!</v>
      </c>
    </row>
    <row r="310" spans="36:108" x14ac:dyDescent="0.15">
      <c r="CR310" s="3">
        <f>+CR309+0.001</f>
        <v>121.501</v>
      </c>
      <c r="CS310" s="3">
        <v>135</v>
      </c>
      <c r="CT310" s="3">
        <f>+CT309+0.001</f>
        <v>546.75099999999998</v>
      </c>
      <c r="CU310" s="3">
        <v>135</v>
      </c>
      <c r="CY310" s="87" t="e">
        <f>ROUNDUP($CW$10*POWER($DU$10,2)/8/DG269,1)</f>
        <v>#DIV/0!</v>
      </c>
      <c r="CZ310" s="87" t="e">
        <v>#DIV/0!</v>
      </c>
      <c r="DA310" s="87"/>
      <c r="DB310" s="87" t="e">
        <f>ROUNDUP($CX$10*POWER($H$10/$DR$10*100,2)/8/DH269,1)</f>
        <v>#DIV/0!</v>
      </c>
      <c r="DC310" s="87" t="e">
        <v>#VALUE!</v>
      </c>
    </row>
    <row r="311" spans="36:108" x14ac:dyDescent="0.15">
      <c r="CR311" s="3">
        <f>ROUND((CS311/10-3)*POWER(CS311/10-3,2)/6,2)</f>
        <v>192.94</v>
      </c>
      <c r="CS311" s="3">
        <v>135</v>
      </c>
      <c r="CT311" s="3">
        <f>ROUND((CU311/10-3)*POWER(CU311/10-3,3)/12,2)</f>
        <v>1012.92</v>
      </c>
      <c r="CU311" s="3">
        <v>135</v>
      </c>
      <c r="CX311" s="3" t="s">
        <v>778</v>
      </c>
      <c r="CY311" s="63" t="e">
        <f>VLOOKUP(CY312,$CR$43:$CS$87,2)</f>
        <v>#N/A</v>
      </c>
      <c r="CZ311" s="63" t="e">
        <f>VLOOKUP(CZ312,$CT$43:$CU$87,2)</f>
        <v>#DIV/0!</v>
      </c>
      <c r="DB311" s="63" t="e">
        <f>VLOOKUP(DB312,$CR$43:$CS$87,2)</f>
        <v>#DIV/0!</v>
      </c>
      <c r="DC311" s="63" t="e">
        <f>VLOOKUP(DC312,$CT$43:$CU$87,2)</f>
        <v>#VALUE!</v>
      </c>
      <c r="DD311" s="155" t="e">
        <f>+MAX(CY311:DC311)</f>
        <v>#N/A</v>
      </c>
    </row>
    <row r="312" spans="36:108" x14ac:dyDescent="0.15">
      <c r="CR312" s="3">
        <f>+CR311+0.001</f>
        <v>192.941</v>
      </c>
      <c r="CS312" s="3">
        <v>150</v>
      </c>
      <c r="CT312" s="3">
        <f>+CT311+0.001</f>
        <v>1012.9209999999999</v>
      </c>
      <c r="CU312" s="3">
        <v>150</v>
      </c>
      <c r="CY312" s="78">
        <f>ROUNDUP($CW$11*POWER($DU$11,2)/8/$DG$11,1)</f>
        <v>0</v>
      </c>
      <c r="CZ312" s="78" t="e">
        <v>#DIV/0!</v>
      </c>
      <c r="DA312" s="78"/>
      <c r="DB312" s="78" t="e">
        <f>ROUNDUP($CX$11*POWER($H$10/$DR$11*100,2)/8/$DH$11,1)</f>
        <v>#DIV/0!</v>
      </c>
      <c r="DC312" s="78" t="e">
        <v>#VALUE!</v>
      </c>
    </row>
    <row r="313" spans="36:108" x14ac:dyDescent="0.15">
      <c r="CR313" s="3">
        <f>ROUND((CS313/10-3)*POWER(CS313/10-3,2)/6,2)</f>
        <v>288</v>
      </c>
      <c r="CS313" s="3">
        <v>150</v>
      </c>
      <c r="CT313" s="3">
        <f>ROUND((CU313/10-3)*POWER(CU313/10-3,3)/12,2)</f>
        <v>1728</v>
      </c>
      <c r="CU313" s="3">
        <v>150</v>
      </c>
      <c r="CY313" s="63" t="e">
        <f>ROUNDUP(CY314/3,-1)*3</f>
        <v>#DIV/0!</v>
      </c>
      <c r="CZ313" s="63" t="e">
        <f>ROUNDUP(CZ314/3,-1)*3</f>
        <v>#VALUE!</v>
      </c>
      <c r="DB313" s="63" t="e">
        <f>ROUNDUP(DB314/3,-1)*3</f>
        <v>#VALUE!</v>
      </c>
      <c r="DC313" s="63" t="e">
        <f>ROUNDUP(DC314/3,-1)*3</f>
        <v>#VALUE!</v>
      </c>
      <c r="DD313" s="155" t="e">
        <f>+MAX(CY313:DC313)</f>
        <v>#DIV/0!</v>
      </c>
    </row>
    <row r="314" spans="36:108" x14ac:dyDescent="0.15">
      <c r="CR314" s="3">
        <f>+CR313+0.001</f>
        <v>288.00099999999998</v>
      </c>
      <c r="CS314" s="3">
        <v>180</v>
      </c>
      <c r="CT314" s="3">
        <f>+CT313+0.001</f>
        <v>1728.001</v>
      </c>
      <c r="CU314" s="3">
        <v>180</v>
      </c>
      <c r="CX314" s="3" t="s">
        <v>688</v>
      </c>
      <c r="CY314" s="63" t="e">
        <f>ROUND(SQRT(CY315/($J$12/10)*6/IF(OR($AA$12=0,$AA$12=1),1,$AA$12))*10,0)</f>
        <v>#DIV/0!</v>
      </c>
      <c r="CZ314" s="63" t="e">
        <f>POWER(ROUND(CZ315/($J$12/10)*12/IF(OR($AA$12=0,$AA$12=1),1,$AA$12),0),1/3)*10</f>
        <v>#VALUE!</v>
      </c>
      <c r="DB314" s="63" t="e">
        <f>ROUND(SQRT(DB315/($J$12/10)*6/IF(OR($AA$12=0,$AA$12=1),1,$AA$12))*10,0)</f>
        <v>#VALUE!</v>
      </c>
      <c r="DC314" s="63" t="e">
        <f>POWER(ROUND(DC315/($J$12/10)*12/IF(OR($AA$12=0,$AA$12=1),1,$AA$12),0),1/3)*10</f>
        <v>#VALUE!</v>
      </c>
    </row>
    <row r="315" spans="36:108" x14ac:dyDescent="0.15">
      <c r="CR315" s="3">
        <f>ROUND((CS315/10-5)*POWER(CS315/10-3,2)/6,2)</f>
        <v>487.5</v>
      </c>
      <c r="CS315" s="3">
        <v>180</v>
      </c>
      <c r="CT315" s="3">
        <f>ROUND((CU315/10-5)*POWER(CU315/10-3,3)/12,2)</f>
        <v>3656.25</v>
      </c>
      <c r="CU315" s="3">
        <v>180</v>
      </c>
      <c r="CY315" s="63" t="e">
        <f>ROUNDUP($CW$12*POWER($H$12*100,2)/8/$DG$12,1)</f>
        <v>#DIV/0!</v>
      </c>
      <c r="CZ315" s="63" t="e">
        <v>#VALUE!</v>
      </c>
      <c r="DA315" s="63"/>
      <c r="DB315" s="63" t="e">
        <f>ROUNDUP($CX$12*POWER($H$12*100,2)/8/$DH$12,1)</f>
        <v>#VALUE!</v>
      </c>
      <c r="DC315" s="63" t="e">
        <v>#VALUE!</v>
      </c>
    </row>
    <row r="316" spans="36:108" x14ac:dyDescent="0.15">
      <c r="CR316" s="3">
        <f>+CR315+0.001</f>
        <v>487.50099999999998</v>
      </c>
      <c r="CS316" s="3">
        <v>210</v>
      </c>
      <c r="CT316" s="3">
        <f>+CT315+0.001</f>
        <v>3656.2510000000002</v>
      </c>
      <c r="CU316" s="3">
        <v>210</v>
      </c>
      <c r="CX316" s="3" t="s">
        <v>778</v>
      </c>
      <c r="CY316" s="63" t="e">
        <f>VLOOKUP(CY317,$CR$43:$CS$87,2)</f>
        <v>#N/A</v>
      </c>
      <c r="CZ316" s="63" t="e">
        <f>VLOOKUP(CZ317,$CT$43:$CU$87,2)</f>
        <v>#VALUE!</v>
      </c>
      <c r="DB316" s="63" t="e">
        <f>VLOOKUP(DB317,$CR$43:$CS$87,2)</f>
        <v>#VALUE!</v>
      </c>
      <c r="DC316" s="63" t="e">
        <f>VLOOKUP(DC317,$CT$43:$CU$87,2)</f>
        <v>#VALUE!</v>
      </c>
      <c r="DD316" s="155" t="e">
        <f>+MAX(CY316:DC316)</f>
        <v>#N/A</v>
      </c>
    </row>
    <row r="317" spans="36:108" x14ac:dyDescent="0.15">
      <c r="CR317" s="3">
        <f>ROUND((CS317/10-5)*POWER(CS317/10-3,2)/6,2)</f>
        <v>864</v>
      </c>
      <c r="CS317" s="3">
        <v>210</v>
      </c>
      <c r="CT317" s="3">
        <f>ROUND((CU317/10-5)*POWER(CU317/10-3,3)/12,2)</f>
        <v>7776</v>
      </c>
      <c r="CU317" s="3">
        <v>210</v>
      </c>
      <c r="CY317" s="63">
        <f>ROUNDUP($CW$13*POWER($H$12*100,2)/8/$DG$13,1)</f>
        <v>0</v>
      </c>
      <c r="CZ317" s="63" t="e">
        <v>#VALUE!</v>
      </c>
      <c r="DA317" s="63"/>
      <c r="DB317" s="63" t="e">
        <f>ROUNDUP($CX$13*POWER($H$12*100,2)/8/$DH$13,1)</f>
        <v>#VALUE!</v>
      </c>
      <c r="DC317" s="63" t="e">
        <v>#VALUE!</v>
      </c>
    </row>
    <row r="318" spans="36:108" x14ac:dyDescent="0.15">
      <c r="CR318" s="3">
        <f>+CR317+0.001</f>
        <v>864.00099999999998</v>
      </c>
      <c r="CS318" s="3">
        <v>240</v>
      </c>
      <c r="CT318" s="3">
        <f>+CT317+0.001</f>
        <v>7776.0010000000002</v>
      </c>
      <c r="CU318" s="3">
        <v>240</v>
      </c>
      <c r="CY318" s="63" t="e">
        <f>ROUNDUP(CY319/3,-1)*3</f>
        <v>#DIV/0!</v>
      </c>
      <c r="CZ318" s="63" t="e">
        <f>ROUNDUP(CZ319/3,-1)*3</f>
        <v>#VALUE!</v>
      </c>
      <c r="DB318" s="63" t="e">
        <f>ROUNDUP(DB319/3,-1)*3</f>
        <v>#VALUE!</v>
      </c>
      <c r="DC318" s="63" t="e">
        <f>ROUNDUP(DC319/3,-1)*3</f>
        <v>#VALUE!</v>
      </c>
      <c r="DD318" s="155" t="e">
        <f>+MAX(CY318:DC318)</f>
        <v>#DIV/0!</v>
      </c>
    </row>
    <row r="319" spans="36:108" x14ac:dyDescent="0.15">
      <c r="CR319" s="3">
        <f>ROUND((CS319/10-5)*POWER(CS319/10-3,2)/6,2)</f>
        <v>1396.5</v>
      </c>
      <c r="CS319" s="3">
        <f>+CS317+30</f>
        <v>240</v>
      </c>
      <c r="CT319" s="3">
        <f>ROUND((CU319/10-5)*POWER(CU319/10-3,3)/12,2)</f>
        <v>14663.25</v>
      </c>
      <c r="CU319" s="3">
        <f>+CU317+30</f>
        <v>240</v>
      </c>
      <c r="CX319" s="3" t="s">
        <v>680</v>
      </c>
      <c r="CY319" s="87" t="e">
        <f>ROUND(SQRT(CY320/($J$14/10)*6/IF(OR($AA$14=0,$AA$14=1),1,$AA$14)),0)*10</f>
        <v>#DIV/0!</v>
      </c>
      <c r="CZ319" s="87" t="e">
        <f>POWER(ROUND(CZ320/($J$14/10)*12/IF(OR($AA$14=0,$AA$14=1),1,$AA$14),0),1/3)*10</f>
        <v>#VALUE!</v>
      </c>
      <c r="DB319" s="87" t="e">
        <f>ROUND(SQRT(DB320/($J$14/10)*6/IF(OR($AA$14=0,$AA$14=1),1,$AA$14))*10,0)</f>
        <v>#VALUE!</v>
      </c>
      <c r="DC319" s="87" t="e">
        <f>POWER(ROUND(DC320/($J$14/10)*12/IF(OR($AA$14=0,$AA$14=1),1,$AA$14),0),1/3)*10</f>
        <v>#VALUE!</v>
      </c>
    </row>
    <row r="320" spans="36:108" x14ac:dyDescent="0.15">
      <c r="CO320" s="63">
        <f>ROUNDDOWN(PI()*POWER(CU320/2/10,3)*(CU320/10-IF(CU320&lt;180,0,6))/4*IF(OR($Y$21=0,$Y$21=1),1,$Y$21),0)</f>
        <v>40579</v>
      </c>
      <c r="CR320" s="3">
        <f>+CR319+0.001</f>
        <v>1396.501</v>
      </c>
      <c r="CS320" s="3">
        <v>270</v>
      </c>
      <c r="CT320" s="3">
        <f>+CT319+0.001</f>
        <v>14663.251</v>
      </c>
      <c r="CU320" s="3">
        <v>270</v>
      </c>
      <c r="CY320" s="87" t="e">
        <f>ROUNDUP($CW$14*POWER($H$14*100,2)/8/$DG$14,1)</f>
        <v>#DIV/0!</v>
      </c>
      <c r="CZ320" s="87" t="e">
        <v>#VALUE!</v>
      </c>
      <c r="DA320" s="87"/>
      <c r="DB320" s="87" t="e">
        <f>ROUNDUP($CX$14*POWER($H$14*100,2)/8/$DH$14,1)</f>
        <v>#VALUE!</v>
      </c>
      <c r="DC320" s="87" t="e">
        <v>#VALUE!</v>
      </c>
    </row>
    <row r="321" spans="93:108" x14ac:dyDescent="0.15">
      <c r="CR321" s="3">
        <f>ROUND((CS321/10-5)*POWER(CS321/10-3,2)/6,2)</f>
        <v>2112</v>
      </c>
      <c r="CS321" s="3">
        <f>+CS319+30</f>
        <v>270</v>
      </c>
      <c r="CT321" s="3">
        <f>ROUND((CU321/10-5)*POWER(CU321/10-3,3)/12,2)</f>
        <v>25344</v>
      </c>
      <c r="CU321" s="3">
        <f>+CU319+30</f>
        <v>270</v>
      </c>
      <c r="CX321" s="3" t="s">
        <v>778</v>
      </c>
      <c r="CY321" s="63" t="e">
        <f>VLOOKUP(CY322,$CR$43:$CS$87,2)</f>
        <v>#N/A</v>
      </c>
      <c r="CZ321" s="63" t="e">
        <f>VLOOKUP(CZ322,$CT$43:$CU$87,2)</f>
        <v>#VALUE!</v>
      </c>
      <c r="DB321" s="63" t="e">
        <f>VLOOKUP(DB322,$CR$43:$CS$87,2)</f>
        <v>#VALUE!</v>
      </c>
      <c r="DC321" s="63" t="e">
        <f>VLOOKUP(DC322,$CT$43:$CU$87,2)</f>
        <v>#VALUE!</v>
      </c>
      <c r="DD321" s="155" t="e">
        <f>+MAX(CY321:DC321)</f>
        <v>#N/A</v>
      </c>
    </row>
    <row r="322" spans="93:108" x14ac:dyDescent="0.15">
      <c r="CO322" s="63">
        <f>ROUNDDOWN(PI()*POWER(CU322/2/10,3)*(CU322/10-IF(CU322&lt;180,0,6))/4*IF(OR($Y$21=0,$Y$21=1),1,$Y$21),0)</f>
        <v>63617</v>
      </c>
      <c r="CR322" s="3">
        <f>+CR321+0.001</f>
        <v>2112.0010000000002</v>
      </c>
      <c r="CS322" s="3">
        <v>300</v>
      </c>
      <c r="CT322" s="3">
        <f>+CT321+0.001</f>
        <v>25344.001</v>
      </c>
      <c r="CU322" s="3">
        <v>300</v>
      </c>
      <c r="CY322" s="78">
        <f>ROUNDUP($CW$15*POWER($H$14*100,2)/8/$DG$15,1)</f>
        <v>0</v>
      </c>
      <c r="CZ322" s="78" t="e">
        <v>#VALUE!</v>
      </c>
      <c r="DA322" s="78"/>
      <c r="DB322" s="78" t="e">
        <f>ROUNDUP($CX$15*POWER($H$14*100,2)/8/$DH$15,1)</f>
        <v>#VALUE!</v>
      </c>
      <c r="DC322" s="78" t="e">
        <v>#VALUE!</v>
      </c>
    </row>
    <row r="323" spans="93:108" x14ac:dyDescent="0.15">
      <c r="CR323" s="3">
        <f>ROUND((CS323/10-5)*POWER(CS323/10-3,2)/6,2)</f>
        <v>3037.5</v>
      </c>
      <c r="CS323" s="3">
        <f>+CS321+30</f>
        <v>300</v>
      </c>
      <c r="CT323" s="3">
        <f>ROUND((CU323/10-5)*POWER(CU323/10-3,3)/12,2)</f>
        <v>41006.25</v>
      </c>
      <c r="CU323" s="3">
        <f>+CU321+30</f>
        <v>300</v>
      </c>
    </row>
    <row r="324" spans="93:108" x14ac:dyDescent="0.15">
      <c r="CR324" s="3">
        <f>+CR323+0.001</f>
        <v>3037.5010000000002</v>
      </c>
      <c r="CS324" s="3">
        <v>330</v>
      </c>
      <c r="CT324" s="3">
        <f>+CT323+0.001</f>
        <v>41006.250999999997</v>
      </c>
      <c r="CU324" s="3">
        <v>330</v>
      </c>
      <c r="CX324" s="3" t="s">
        <v>692</v>
      </c>
    </row>
    <row r="325" spans="93:108" x14ac:dyDescent="0.15">
      <c r="CR325" s="3">
        <f>ROUND((CS325/10-5)*POWER(CS325/10-3,2)/6,2)</f>
        <v>4200</v>
      </c>
      <c r="CS325" s="3">
        <f>+CS323+30</f>
        <v>330</v>
      </c>
      <c r="CT325" s="3">
        <f>ROUND((CU325/10-5)*POWER(CU325/10-3,3)/12,2)</f>
        <v>63000</v>
      </c>
      <c r="CU325" s="3">
        <f>+CU323+30</f>
        <v>330</v>
      </c>
    </row>
    <row r="326" spans="93:108" x14ac:dyDescent="0.15">
      <c r="CR326" s="3">
        <f>+CR325+0.001</f>
        <v>4200.0010000000002</v>
      </c>
      <c r="CS326" s="3">
        <f>+CS327</f>
        <v>360</v>
      </c>
      <c r="CT326" s="3">
        <f>+CT325+0.001</f>
        <v>63000.000999999997</v>
      </c>
      <c r="CU326" s="3">
        <f>+CU327</f>
        <v>360</v>
      </c>
    </row>
    <row r="327" spans="93:108" x14ac:dyDescent="0.15">
      <c r="CR327" s="3">
        <f>ROUND((CS327/10-5)*POWER(CS327/10-3,2)/6,2)</f>
        <v>5626.5</v>
      </c>
      <c r="CS327" s="3">
        <f>+CS325+30</f>
        <v>360</v>
      </c>
      <c r="CT327" s="3">
        <f>ROUND((CU327/10-5)*POWER(CU327/10-3,3)/12,2)</f>
        <v>92837.25</v>
      </c>
      <c r="CU327" s="3">
        <f>+CU325+30</f>
        <v>360</v>
      </c>
    </row>
    <row r="328" spans="93:108" x14ac:dyDescent="0.15">
      <c r="CR328" s="3">
        <f>+CR327+0.001</f>
        <v>5626.5010000000002</v>
      </c>
      <c r="CS328" s="3">
        <f>+CS329</f>
        <v>390</v>
      </c>
      <c r="CT328" s="3">
        <f>+CT327+0.001</f>
        <v>92837.251000000004</v>
      </c>
      <c r="CU328" s="3">
        <f>+CU329</f>
        <v>390</v>
      </c>
      <c r="CY328" s="63"/>
      <c r="CZ328" s="63"/>
      <c r="DB328" s="63"/>
      <c r="DC328" s="63"/>
    </row>
    <row r="329" spans="93:108" x14ac:dyDescent="0.15">
      <c r="CR329" s="3">
        <f>ROUND((CS329/10-5)*POWER(CS329/10-3,2)/6,2)</f>
        <v>7344</v>
      </c>
      <c r="CS329" s="3">
        <f>+CS327+30</f>
        <v>390</v>
      </c>
      <c r="CT329" s="3">
        <f>ROUND((CU329/10-5)*POWER(CU329/10-3,3)/12,2)</f>
        <v>132192</v>
      </c>
      <c r="CU329" s="3">
        <f>+CU327+30</f>
        <v>390</v>
      </c>
      <c r="CX329" s="3" t="s">
        <v>778</v>
      </c>
    </row>
    <row r="330" spans="93:108" x14ac:dyDescent="0.15">
      <c r="CR330" s="3">
        <f>+CR329+0.001</f>
        <v>7344.0010000000002</v>
      </c>
      <c r="CS330" s="3">
        <f>+CS331</f>
        <v>420</v>
      </c>
      <c r="CT330" s="3">
        <f>+CT329+0.001</f>
        <v>132192.00099999999</v>
      </c>
      <c r="CU330" s="3">
        <f>+CU331</f>
        <v>420</v>
      </c>
    </row>
    <row r="331" spans="93:108" x14ac:dyDescent="0.15">
      <c r="CR331" s="3">
        <f>ROUND((CS331/10-5)*POWER(CS331/10-3,2)/6,2)</f>
        <v>9379.5</v>
      </c>
      <c r="CS331" s="3">
        <f>+CS329+30</f>
        <v>420</v>
      </c>
      <c r="CT331" s="3">
        <f>ROUND((CU331/10-5)*POWER(CU331/10-3,3)/12,2)</f>
        <v>182900.25</v>
      </c>
      <c r="CU331" s="3">
        <f>+CU329+30</f>
        <v>420</v>
      </c>
    </row>
    <row r="332" spans="93:108" x14ac:dyDescent="0.15">
      <c r="CR332" s="3">
        <f>+CR331+0.001</f>
        <v>9379.5010000000002</v>
      </c>
      <c r="CS332" s="3">
        <f>+CS333</f>
        <v>450</v>
      </c>
      <c r="CT332" s="3">
        <f>+CT331+0.001</f>
        <v>182900.25099999999</v>
      </c>
      <c r="CU332" s="3">
        <f>+CU333</f>
        <v>450</v>
      </c>
    </row>
    <row r="333" spans="93:108" x14ac:dyDescent="0.15">
      <c r="CR333" s="3">
        <f>ROUND((CS333/10-5)*POWER(CS333/10-3,2)/6,2)</f>
        <v>11760</v>
      </c>
      <c r="CS333" s="3">
        <f>+CS331+30</f>
        <v>450</v>
      </c>
      <c r="CT333" s="3">
        <f>ROUND((CU333/10-5)*POWER(CU333/10-3,3)/12,2)</f>
        <v>246960</v>
      </c>
      <c r="CU333" s="3">
        <f>+CU331+30</f>
        <v>450</v>
      </c>
      <c r="CY333" s="63" t="e">
        <f>IF(AND(CY334&gt;30,CY334&lt;=40),40,IF(AND(CY334&gt;40,CY334&lt;=45),45,IF(AND(CY334&gt;60,CY334&lt;=75),75,IF(AND(CY334&gt;90,CY334&lt;=105),105,IF(AND(CY334&gt;120,CY334&lt;=135),135,ROUNDUP(CY334/3,-1)*3)))))</f>
        <v>#VALUE!</v>
      </c>
      <c r="CZ333" s="63" t="e">
        <f>IF(AND(CZ334&gt;30,CZ334&lt;=40),40,IF(AND(CZ334&gt;40,CZ334&lt;=45),45,IF(AND(CZ334&gt;60,CZ334&lt;=75),75,IF(AND(CZ334&gt;90,CZ334&lt;=105),105,IF(AND(CZ334&gt;120,CZ334&lt;=135),135,ROUNDUP(CZ334/3,-1)*3)))))</f>
        <v>#VALUE!</v>
      </c>
      <c r="DB333" s="63" t="e">
        <f>IF(AND(DB334&gt;30,DB334&lt;=40),40,IF(AND(DB334&gt;40,DB334&lt;=45),45,IF(AND(DB334&gt;60,DB334&lt;=75),75,IF(AND(DB334&gt;90,DB334&lt;=105),105,IF(AND(DB334&gt;120,DB334&lt;=135),135,ROUNDUP(DB334/3,-1)*3)))))</f>
        <v>#VALUE!</v>
      </c>
      <c r="DC333" s="63" t="e">
        <f>IF(AND(DC334&gt;30,DC334&lt;=40),40,IF(AND(DC334&gt;40,DC334&lt;=45),45,IF(AND(DC334&gt;60,DC334&lt;=75),75,IF(AND(DC334&gt;90,DC334&lt;=105),105,IF(AND(DC334&gt;120,DC334&lt;=135),135,ROUNDUP(DC334/3,-1)*3)))))</f>
        <v>#VALUE!</v>
      </c>
      <c r="DD333" s="155" t="e">
        <f>+MAX(CY333:DC333)</f>
        <v>#VALUE!</v>
      </c>
    </row>
    <row r="334" spans="93:108" x14ac:dyDescent="0.15">
      <c r="CR334" s="3">
        <f>+CR333+0.001</f>
        <v>11760.001</v>
      </c>
      <c r="CS334" s="3">
        <f>+CS335</f>
        <v>480</v>
      </c>
      <c r="CT334" s="3">
        <f>+CT333+0.001</f>
        <v>246960.00099999999</v>
      </c>
      <c r="CU334" s="3">
        <f>+CU335</f>
        <v>480</v>
      </c>
      <c r="CX334" s="3" t="s">
        <v>164</v>
      </c>
      <c r="CY334" s="63" t="e">
        <f>ROUNDUP(SQRT(CY335/($I$25/10)*6/0.95)*10,0)</f>
        <v>#VALUE!</v>
      </c>
      <c r="CZ334" s="63" t="e">
        <f>POWER(ROUND(CZ335/($I$25/10)*12,2),1/3)*10/0.95</f>
        <v>#VALUE!</v>
      </c>
      <c r="DB334" s="63" t="e">
        <f>ROUND(SQRT(DB335/($I$25/10)*6/0.95)*10,1)</f>
        <v>#VALUE!</v>
      </c>
      <c r="DC334" s="63" t="e">
        <f>POWER(ROUND(DC335/($I$25/10)*12,2),1/3)*10/0.95</f>
        <v>#VALUE!</v>
      </c>
    </row>
    <row r="335" spans="93:108" x14ac:dyDescent="0.15">
      <c r="CR335" s="3">
        <f>ROUND((CS335/10-5)*POWER(CS335/10-3,2)/6,2)</f>
        <v>14512.5</v>
      </c>
      <c r="CS335" s="3">
        <f>+CS333+30</f>
        <v>480</v>
      </c>
      <c r="CT335" s="3">
        <f>ROUND((CU335/10-5)*POWER(CU335/10-3,3)/12,2)</f>
        <v>326531.25</v>
      </c>
      <c r="CU335" s="3">
        <f>+CU333+30</f>
        <v>480</v>
      </c>
      <c r="CY335" s="63" t="e">
        <f>ROUNDUP($CV$25*POWER($G$25*100,2)/8/$DD$25,1)</f>
        <v>#VALUE!</v>
      </c>
      <c r="CZ335" s="63" t="e">
        <v>#VALUE!</v>
      </c>
      <c r="DB335" s="63" t="e">
        <f>ROUNDUP($CW$25*POWER($G$25*100,2)/8/$DE$25,1)</f>
        <v>#VALUE!</v>
      </c>
      <c r="DC335" s="63" t="e">
        <v>#VALUE!</v>
      </c>
    </row>
    <row r="336" spans="93:108" x14ac:dyDescent="0.15">
      <c r="CR336" s="3">
        <f>+CR335+0.001</f>
        <v>14512.501</v>
      </c>
      <c r="CS336" s="3">
        <f>+CS337</f>
        <v>510</v>
      </c>
      <c r="CT336" s="3">
        <f>+CT335+0.001</f>
        <v>326531.25099999999</v>
      </c>
      <c r="CU336" s="3">
        <f>+CU337</f>
        <v>510</v>
      </c>
      <c r="CY336" s="63" t="e">
        <f>IF(AND(CY337&gt;30,CY337&lt;=40),40,IF(AND(CY337&gt;40,CY337&lt;=45),45,IF(AND(CY337&gt;60,CY337&lt;=75),75,IF(AND(CY337&gt;90,CY337&lt;=105),105,IF(AND(CY337&gt;120,CY337&lt;=135),135,ROUNDUP(CY337/3,-1)*3)))))</f>
        <v>#VALUE!</v>
      </c>
      <c r="CZ336" s="63" t="e">
        <f>IF(AND(CZ337&gt;30,CZ337&lt;=40),40,IF(AND(CZ337&gt;40,CZ337&lt;=45),45,IF(AND(CZ337&gt;60,CZ337&lt;=75),75,IF(AND(CZ337&gt;90,CZ337&lt;=105),105,IF(AND(CZ337&gt;120,CZ337&lt;=135),135,ROUNDUP(CZ337/3,-1)*3)))))</f>
        <v>#VALUE!</v>
      </c>
      <c r="DB336" s="63" t="e">
        <f>IF(AND(DB337&gt;30,DB337&lt;=40),40,IF(AND(DB337&gt;40,DB337&lt;=45),45,IF(AND(DB337&gt;60,DB337&lt;=75),75,IF(AND(DB337&gt;90,DB337&lt;=105),105,IF(AND(DB337&gt;120,DB337&lt;=135),135,ROUNDUP(DB337/3,-1)*3)))))</f>
        <v>#VALUE!</v>
      </c>
      <c r="DC336" s="63" t="e">
        <f>IF(AND(DC337&gt;30,DC337&lt;=40),40,IF(AND(DC337&gt;40,DC337&lt;=45),45,IF(AND(DC337&gt;60,DC337&lt;=75),75,IF(AND(DC337&gt;90,DC337&lt;=105),105,IF(AND(DC337&gt;120,DC337&lt;=135),135,ROUNDUP(DC337/3,-1)*3)))))</f>
        <v>#VALUE!</v>
      </c>
      <c r="DD336" s="155" t="e">
        <f>+MAX(CY336:DC336)</f>
        <v>#VALUE!</v>
      </c>
    </row>
    <row r="337" spans="7:108" x14ac:dyDescent="0.15">
      <c r="CR337" s="3">
        <f>ROUND((CS337/10-5)*POWER(CS337/10-3,2)/6,2)</f>
        <v>17664</v>
      </c>
      <c r="CS337" s="3">
        <f>+CS335+30</f>
        <v>510</v>
      </c>
      <c r="CT337" s="3">
        <f>ROUND((CU337/10-5)*POWER(CU337/10-3,3)/12,2)</f>
        <v>423936</v>
      </c>
      <c r="CU337" s="3">
        <f>+CU335+30</f>
        <v>510</v>
      </c>
      <c r="CX337" s="3" t="s">
        <v>824</v>
      </c>
      <c r="CY337" s="63" t="e">
        <f>ROUND(SQRT(CY338/($I$26/10)*6)/0.9*10,1)</f>
        <v>#VALUE!</v>
      </c>
      <c r="CZ337" s="63" t="e">
        <f>POWER(ROUND(CZ338/($I$26/10)*12,2),1/3)*10/0.9</f>
        <v>#VALUE!</v>
      </c>
      <c r="DB337" s="63" t="e">
        <f>ROUND(SQRT(DB338/($I$26/10)*6)/0.9*10,1)</f>
        <v>#VALUE!</v>
      </c>
      <c r="DC337" s="63" t="e">
        <f>POWER(ROUND(DC338/($I$26/10)*12,2),1/3)*10/0.9</f>
        <v>#VALUE!</v>
      </c>
    </row>
    <row r="338" spans="7:108" x14ac:dyDescent="0.15">
      <c r="CR338" s="3">
        <f>+CR337+0.001</f>
        <v>17664.001</v>
      </c>
      <c r="CS338" s="3">
        <f>+CS339</f>
        <v>540</v>
      </c>
      <c r="CT338" s="3">
        <f>+CT337+0.001</f>
        <v>423936.00099999999</v>
      </c>
      <c r="CU338" s="3">
        <f>+CU339</f>
        <v>540</v>
      </c>
      <c r="CY338" s="63" t="e">
        <f>ROUNDUP($CV$26*POWER($G$26*100,2)/8/$DD$26,1)</f>
        <v>#VALUE!</v>
      </c>
      <c r="CZ338" s="63" t="e">
        <v>#VALUE!</v>
      </c>
      <c r="DB338" s="63" t="e">
        <f>ROUNDUP($CW$26*POWER($G$26*100,2)/8/$DE$26,1)</f>
        <v>#VALUE!</v>
      </c>
      <c r="DC338" s="63" t="e">
        <v>#VALUE!</v>
      </c>
    </row>
    <row r="339" spans="7:108" x14ac:dyDescent="0.15">
      <c r="CR339" s="3">
        <f>ROUND((CS339/10-5)*POWER(CS339/10-3,2)/6,2)</f>
        <v>21241.5</v>
      </c>
      <c r="CS339" s="3">
        <f>+CS337+30</f>
        <v>540</v>
      </c>
      <c r="CT339" s="3">
        <f>ROUND((CU339/10-5)*POWER(CU339/10-3,3)/12,2)</f>
        <v>541658.25</v>
      </c>
      <c r="CU339" s="3">
        <f>+CU337+30</f>
        <v>540</v>
      </c>
      <c r="CY339" s="63" t="e">
        <f>IF(CY340&lt;21,21,IF(AND(CY340&gt;21,CY340&lt;=24),24,IF(AND(CY340&gt;30,CY340&lt;=40),40,IF(AND(CY340&gt;40,CY340&lt;=45),45,IF(AND(CY340&gt;60,CY340&lt;=75),75,IF(AND(CY340&gt;90,CY340&lt;=105),105,IF(AND(CY340&gt;120,CY340&lt;=135),135,ROUNDUP(CY340/3,-1)*3)))))))</f>
        <v>#VALUE!</v>
      </c>
      <c r="CZ339" s="63" t="e">
        <f>IF(CZ340&lt;21,21,IF(AND(CZ340&gt;21,CZ340&lt;=24),24,IF(AND(CZ340&gt;30,CZ340&lt;=40),40,IF(AND(CZ340&gt;40,CZ340&lt;=45),45,IF(AND(CZ340&gt;60,CZ340&lt;=75),75,IF(AND(CZ340&gt;90,CZ340&lt;=105),105,IF(AND(CZ340&gt;120,CZ340&lt;=135),135,ROUNDUP(CZ340/3,-1)*3)))))))</f>
        <v>#VALUE!</v>
      </c>
      <c r="DB339" s="63" t="e">
        <f>IF(DB340&lt;21,21,IF(AND(DB340&gt;21,DB340&lt;=24),24,IF(AND(DB340&gt;30,DB340&lt;=40),40,IF(AND(DB340&gt;40,DB340&lt;=45),45,IF(AND(DB340&gt;60,DB340&lt;=75),75,IF(AND(DB340&gt;90,DB340&lt;=105),105,IF(AND(DB340&gt;120,DB340&lt;=135),135,ROUNDUP(DB340/3,-1)*3)))))))</f>
        <v>#VALUE!</v>
      </c>
      <c r="DC339" s="63" t="e">
        <f>IF(DC340&lt;21,21,IF(AND(DC340&gt;21,DC340&lt;=24),24,IF(AND(DC340&gt;30,DC340&lt;=40),40,IF(AND(DC340&gt;40,DC340&lt;=45),45,IF(AND(DC340&gt;60,DC340&lt;=75),75,IF(AND(DC340&gt;90,DC340&lt;=105),105,IF(AND(DC340&gt;120,DC340&lt;=135),135,ROUNDUP(DC340/3,-1)*3)))))))</f>
        <v>#VALUE!</v>
      </c>
      <c r="DD339" s="155" t="e">
        <f>+MAX(CY339:DC339)</f>
        <v>#VALUE!</v>
      </c>
    </row>
    <row r="340" spans="7:108" x14ac:dyDescent="0.15">
      <c r="CR340" s="3">
        <f>+CR339+0.001</f>
        <v>21241.501</v>
      </c>
      <c r="CS340" s="3">
        <f>+CS341</f>
        <v>570</v>
      </c>
      <c r="CT340" s="3">
        <f>+CT339+0.001</f>
        <v>541658.25100000005</v>
      </c>
      <c r="CU340" s="3">
        <f>+CU341</f>
        <v>570</v>
      </c>
      <c r="CX340" s="3" t="s">
        <v>945</v>
      </c>
      <c r="CY340" s="63" t="e">
        <f>ROUND(SQRT(CY341/($I$27/10)*6)*10,1)</f>
        <v>#VALUE!</v>
      </c>
      <c r="CZ340" s="63" t="e">
        <f>POWER(ROUND(CZ341/($I$27/10)*12,2),1/3)*10</f>
        <v>#VALUE!</v>
      </c>
      <c r="DB340" s="63" t="e">
        <f>ROUND(SQRT(DB341/($I$27/10)*6)*10,1)</f>
        <v>#VALUE!</v>
      </c>
      <c r="DC340" s="63" t="e">
        <f>POWER(ROUND(DC341/($I$27/10)*12,2),1/3)*10</f>
        <v>#VALUE!</v>
      </c>
    </row>
    <row r="341" spans="7:108" x14ac:dyDescent="0.15">
      <c r="CR341" s="3">
        <f>ROUND((CS341/10-5)*POWER(CS341/10-3,2)/6,2)</f>
        <v>25272</v>
      </c>
      <c r="CS341" s="3">
        <f>+CS339+30</f>
        <v>570</v>
      </c>
      <c r="CT341" s="3">
        <f>ROUND((CU341/10-5)*POWER(CU341/10-3,3)/12,2)</f>
        <v>682344</v>
      </c>
      <c r="CU341" s="3">
        <f>+CU339+30</f>
        <v>570</v>
      </c>
      <c r="CY341" s="63" t="e">
        <f>ROUNDUP($CV$27*POWER($G$27*100,2)/8/$DD$27,1)</f>
        <v>#VALUE!</v>
      </c>
      <c r="CZ341" s="63" t="e">
        <v>#VALUE!</v>
      </c>
      <c r="DB341" s="63" t="e">
        <f>ROUNDUP($CW$27*POWER($G$27*100,2)/8/$DE$27,1)</f>
        <v>#VALUE!</v>
      </c>
      <c r="DC341" s="63" t="e">
        <v>#VALUE!</v>
      </c>
    </row>
    <row r="342" spans="7:108" x14ac:dyDescent="0.15">
      <c r="CR342" s="3">
        <f>+CR341+0.001</f>
        <v>25272.001</v>
      </c>
      <c r="CS342" s="3">
        <f>+CS343</f>
        <v>600</v>
      </c>
      <c r="CT342" s="3">
        <f>+CT341+0.001</f>
        <v>682344.00100000005</v>
      </c>
      <c r="CU342" s="3">
        <f>+CU343</f>
        <v>600</v>
      </c>
      <c r="CY342" s="63" t="e">
        <f>IF(CY343&lt;21,21,IF(AND(CY343&gt;21,CY343&lt;=24),24,IF(AND(CY343&gt;30,CY343&lt;=40),40,IF(AND(CY343&gt;40,CY343&lt;=45),45,IF(AND(CY343&gt;60,CY343&lt;=75),75,IF(AND(CY343&gt;90,CY343&lt;=105),105,IF(AND(CY343&gt;120,CY343&lt;=135),135,ROUNDUP(CY343/3,-1)*3)))))))</f>
        <v>#VALUE!</v>
      </c>
      <c r="CZ342" s="63" t="e">
        <f>IF(CZ343&lt;21,21,IF(AND(CZ343&gt;21,CZ343&lt;=24),24,IF(AND(CZ343&gt;30,CZ343&lt;=40),40,IF(AND(CZ343&gt;40,CZ343&lt;=45),45,IF(AND(CZ343&gt;60,CZ343&lt;=75),75,IF(AND(CZ343&gt;90,CZ343&lt;=105),105,IF(AND(CZ343&gt;120,CZ343&lt;=135),135,ROUNDUP(CZ343/3,-1)*3)))))))</f>
        <v>#VALUE!</v>
      </c>
      <c r="DB342" s="63" t="e">
        <f>IF(DB343&lt;21,21,IF(AND(DB343&gt;21,DB343&lt;=24),24,IF(AND(DB343&gt;30,DB343&lt;=40),40,IF(AND(DB343&gt;40,DB343&lt;=45),45,IF(AND(DB343&gt;60,DB343&lt;=75),75,IF(AND(DB343&gt;90,DB343&lt;=105),105,IF(AND(DB343&gt;120,DB343&lt;=135),135,ROUNDUP(DB343/3,-1)*3)))))))</f>
        <v>#VALUE!</v>
      </c>
      <c r="DC342" s="63" t="e">
        <f>IF(DC343&lt;21,21,IF(AND(DC343&gt;21,DC343&lt;=24),24,IF(AND(DC343&gt;30,DC343&lt;=40),40,IF(AND(DC343&gt;40,DC343&lt;=45),45,IF(AND(DC343&gt;60,DC343&lt;=75),75,IF(AND(DC343&gt;90,DC343&lt;=105),105,IF(AND(DC343&gt;120,DC343&lt;=135),135,ROUNDUP(DC343/3,-1)*3)))))))</f>
        <v>#VALUE!</v>
      </c>
      <c r="DD342" s="23" t="e">
        <f>+MAX(CY342:DC342)</f>
        <v>#VALUE!</v>
      </c>
    </row>
    <row r="343" spans="7:108" ht="12" customHeight="1" x14ac:dyDescent="0.15">
      <c r="CR343" s="3">
        <f>ROUND((CS343/10-5)*POWER(CS343/10-3,2)/6,2)</f>
        <v>29782.5</v>
      </c>
      <c r="CS343" s="3">
        <f>+CS341+30</f>
        <v>600</v>
      </c>
      <c r="CT343" s="3">
        <f>ROUND((CU343/10-5)*POWER(CU343/10-3,3)/12,2)</f>
        <v>848801.25</v>
      </c>
      <c r="CU343" s="3">
        <f>+CU341+30</f>
        <v>600</v>
      </c>
      <c r="CX343" s="3" t="s">
        <v>673</v>
      </c>
      <c r="CY343" s="63" t="e">
        <f>ROUND(SQRT(CY344/($I$28/10)*6)*10,1)</f>
        <v>#VALUE!</v>
      </c>
      <c r="CZ343" s="63" t="e">
        <f>POWER(ROUND(CZ344/($I$28/10)*12,2),1/3)*10</f>
        <v>#VALUE!</v>
      </c>
      <c r="DB343" s="63" t="e">
        <f>ROUND(SQRT(DB344/($I$28/10)*6)*10,1)</f>
        <v>#VALUE!</v>
      </c>
      <c r="DC343" s="63" t="e">
        <f>POWER(ROUND(DC344/($I$28/10)*12,2),1/3)*10</f>
        <v>#VALUE!</v>
      </c>
      <c r="DD343" s="23"/>
    </row>
    <row r="344" spans="7:108" ht="12" customHeight="1" x14ac:dyDescent="0.15">
      <c r="CR344" s="3">
        <f>+CR343+0.001</f>
        <v>29782.501</v>
      </c>
      <c r="CS344" s="3">
        <f>+CS345</f>
        <v>630</v>
      </c>
      <c r="CT344" s="3">
        <f>+CT343+0.001</f>
        <v>848801.25100000005</v>
      </c>
      <c r="CU344" s="3">
        <f>+CU345</f>
        <v>630</v>
      </c>
      <c r="CY344" s="63" t="e">
        <f>ROUNDUP($CV$28*$DN$28*(POWER($DN$28,2)-POWER($DN$29,2))/2/$DN$28/$DD$28,1)</f>
        <v>#VALUE!</v>
      </c>
      <c r="CZ344" s="63" t="e">
        <v>#VALUE!</v>
      </c>
      <c r="DB344" s="63" t="e">
        <f>ROUNDUP($CW$28*POWER($DN$28,2)/8/$DE$28,1)</f>
        <v>#VALUE!</v>
      </c>
      <c r="DC344" s="63" t="e">
        <v>#VALUE!</v>
      </c>
      <c r="DD344" s="23"/>
    </row>
    <row r="345" spans="7:108" x14ac:dyDescent="0.15">
      <c r="CR345" s="3">
        <f>ROUND((CS345/10-5)*POWER(CS345/10-3,2)/6,2)</f>
        <v>34800</v>
      </c>
      <c r="CS345" s="3">
        <f>+CS343+30</f>
        <v>630</v>
      </c>
      <c r="CT345" s="3">
        <f>ROUND((CU345/10-5)*POWER(CU345/10-3,3)/12,2)</f>
        <v>1044000</v>
      </c>
      <c r="CU345" s="3">
        <f>+CU343+30</f>
        <v>630</v>
      </c>
      <c r="CY345" s="63" t="e">
        <f>IF(CY346&lt;21,21,IF(AND(CY346&gt;21,CY346&lt;=24),24,IF(AND(CY346&gt;30,CY346&lt;=40),40,IF(AND(CY346&gt;40,CY346&lt;=45),45,IF(AND(CY346&gt;60,CY346&lt;=75),75,IF(AND(CY346&gt;90,CY346&lt;=105),105,IF(AND(CY346&gt;120,CY346&lt;=135),135,ROUNDUP(CY346/3,-1)*3)))))))</f>
        <v>#VALUE!</v>
      </c>
      <c r="CZ345" s="63" t="e">
        <f>IF(CZ346&lt;21,21,IF(AND(CZ346&gt;21,CZ346&lt;=24),24,IF(AND(CZ346&gt;30,CZ346&lt;=40),40,IF(AND(CZ346&gt;40,CZ346&lt;=45),45,IF(AND(CZ346&gt;60,CZ346&lt;=75),75,IF(AND(CZ346&gt;90,CZ346&lt;=105),105,IF(AND(CZ346&gt;120,CZ346&lt;=135),135,ROUNDUP(CZ346/3,-1)*3)))))))</f>
        <v>#VALUE!</v>
      </c>
      <c r="DB345" s="63" t="e">
        <f>IF(DB346&lt;21,21,IF(AND(DB346&gt;21,DB346&lt;=24),24,IF(AND(DB346&gt;30,DB346&lt;=40),40,IF(AND(DB346&gt;40,DB346&lt;=45),45,IF(AND(DB346&gt;60,DB346&lt;=75),75,IF(AND(DB346&gt;90,DB346&lt;=105),105,IF(AND(DB346&gt;120,DB346&lt;=135),135,ROUNDUP(DB346/3,-1)*3)))))))</f>
        <v>#VALUE!</v>
      </c>
      <c r="DC345" s="63" t="e">
        <f>IF(DC346&lt;21,21,IF(AND(DC346&gt;21,DC346&lt;=24),24,IF(AND(DC346&gt;30,DC346&lt;=40),40,IF(AND(DC346&gt;40,DC346&lt;=45),45,IF(AND(DC346&gt;60,DC346&lt;=75),75,IF(AND(DC346&gt;90,DC346&lt;=105),105,IF(AND(DC346&gt;120,DC346&lt;=135),135,ROUNDUP(DC346/3,-1)*3)))))))</f>
        <v>#VALUE!</v>
      </c>
      <c r="DD345" s="23" t="e">
        <f>+MAX(CY345:DC345)</f>
        <v>#VALUE!</v>
      </c>
    </row>
    <row r="346" spans="7:108" x14ac:dyDescent="0.15">
      <c r="CR346" s="3">
        <f>+CR345+0.001</f>
        <v>34800.000999999997</v>
      </c>
      <c r="CT346" s="3">
        <f>+CT345+0.001</f>
        <v>1044000.001</v>
      </c>
      <c r="CY346" s="63" t="e">
        <f>ROUND(SQRT(CY347/($I$28/10)*6)*10,1)</f>
        <v>#VALUE!</v>
      </c>
      <c r="CZ346" s="63" t="e">
        <f>POWER(ROUND(CZ347/($I$29/10)*12,2),1/3)*10</f>
        <v>#VALUE!</v>
      </c>
      <c r="DB346" s="63" t="e">
        <f>ROUND(SQRT(DB347/($I$28/10)*6)*10,1)</f>
        <v>#VALUE!</v>
      </c>
      <c r="DC346" s="63" t="e">
        <f>POWER(ROUND(DC347/($I$29/10)*12,2),1/3)*10</f>
        <v>#VALUE!</v>
      </c>
    </row>
    <row r="347" spans="7:108" x14ac:dyDescent="0.15">
      <c r="G347" s="410"/>
      <c r="CY347" s="63" t="e">
        <f>ROUNDUP($CV$29*POWER($DN$29,2)/2/$DD$29,1)</f>
        <v>#VALUE!</v>
      </c>
      <c r="CZ347" s="63" t="e">
        <v>#VALUE!</v>
      </c>
      <c r="DB347" s="63" t="e">
        <f>ROUNDUP($CW$28*POWER($DN$29,2)/2/$DE$29,1)</f>
        <v>#VALUE!</v>
      </c>
      <c r="DC347" s="63" t="e">
        <v>#VALUE!</v>
      </c>
      <c r="DD347" s="155" t="e">
        <f>+MAX(DD342,DD345)</f>
        <v>#VALUE!</v>
      </c>
    </row>
    <row r="348" spans="7:108" x14ac:dyDescent="0.15">
      <c r="G348" s="410"/>
      <c r="CQ348" s="3">
        <v>0.9</v>
      </c>
      <c r="CR348" s="63">
        <f>+CR301*0.9</f>
        <v>4.05</v>
      </c>
      <c r="CS348" s="3">
        <v>60</v>
      </c>
      <c r="CT348" s="63">
        <f>+CT301*0.9</f>
        <v>6.0750000000000002</v>
      </c>
      <c r="CU348" s="3">
        <v>60</v>
      </c>
      <c r="CY348" s="63" t="e">
        <f>IF(CY349&lt;21,21,IF(AND(CY349&gt;21,CY349&lt;=24),24,IF(AND(CY349&gt;30,CY349&lt;=40),40,IF(AND(CY349&gt;40,CY349&lt;=45),45,IF(AND(CY349&gt;60,CY349&lt;=75),75,IF(AND(CY349&gt;90,CY349&lt;=105),105,IF(AND(CY349&gt;120,CY349&lt;=135),135,ROUNDUP(CY349/3,-1)*3)))))))</f>
        <v>#VALUE!</v>
      </c>
      <c r="CZ348" s="63" t="e">
        <f>IF(CZ349&lt;21,21,IF(AND(CZ349&gt;21,CZ349&lt;=24),24,IF(AND(CZ349&gt;30,CZ349&lt;=40),40,IF(AND(CZ349&gt;40,CZ349&lt;=45),45,IF(AND(CZ349&gt;60,CZ349&lt;=75),75,IF(AND(CZ349&gt;90,CZ349&lt;=105),105,IF(AND(CZ349&gt;120,CZ349&lt;=135),135,ROUNDUP(CZ349/3,-1)*3)))))))</f>
        <v>#VALUE!</v>
      </c>
      <c r="DD348" s="155" t="e">
        <f>+MAX(CY348:DC348)</f>
        <v>#VALUE!</v>
      </c>
    </row>
    <row r="349" spans="7:108" x14ac:dyDescent="0.15">
      <c r="G349" s="410"/>
      <c r="CR349" s="3">
        <f>+CR348+0.001</f>
        <v>4.0510000000000002</v>
      </c>
      <c r="CS349" s="3">
        <v>75</v>
      </c>
      <c r="CT349" s="3">
        <f>+CT348+0.001</f>
        <v>6.0760000000000005</v>
      </c>
      <c r="CU349" s="3">
        <v>75</v>
      </c>
      <c r="CX349" s="3" t="s">
        <v>946</v>
      </c>
      <c r="CY349" s="63" t="e">
        <f>ROUND(SQRT(CY350/($I$30/10)*6)*10,1)</f>
        <v>#VALUE!</v>
      </c>
      <c r="CZ349" s="63" t="e">
        <f>POWER(ROUND(CZ350/($I$30/10)*12,2),1/3)*10</f>
        <v>#VALUE!</v>
      </c>
    </row>
    <row r="350" spans="7:108" x14ac:dyDescent="0.15">
      <c r="G350" s="410"/>
      <c r="CR350" s="63">
        <f>+CR303*0.9</f>
        <v>13.670999999999999</v>
      </c>
      <c r="CS350" s="3">
        <v>75</v>
      </c>
      <c r="CT350" s="63">
        <f>+CT303*0.9</f>
        <v>30.753000000000004</v>
      </c>
      <c r="CU350" s="3">
        <v>75</v>
      </c>
      <c r="CY350" s="63" t="e">
        <f>ROUNDUP($CV$30*POWER($G$30*100,2)/8/$DD$30,1)</f>
        <v>#VALUE!</v>
      </c>
      <c r="CZ350" s="63" t="e">
        <v>#VALUE!</v>
      </c>
    </row>
    <row r="351" spans="7:108" x14ac:dyDescent="0.15">
      <c r="G351" s="410"/>
      <c r="CR351" s="3">
        <f>+CR350+0.001</f>
        <v>13.671999999999999</v>
      </c>
      <c r="CS351" s="3">
        <v>90</v>
      </c>
      <c r="CT351" s="3">
        <f>+CT350+0.001</f>
        <v>30.754000000000005</v>
      </c>
      <c r="CU351" s="3">
        <v>90</v>
      </c>
      <c r="CY351" s="63" t="e">
        <f>IF(CY352&lt;21,21,IF(AND(CY352&gt;21,CY352&lt;=24),24,IF(AND(CY352&gt;30,CY352&lt;=40),40,IF(AND(CY352&gt;40,CY352&lt;=45),45,IF(AND(CY352&gt;60,CY352&lt;=75),75,IF(AND(CY352&gt;90,CY352&lt;=105),105,IF(AND(CY352&gt;120,CY352&lt;=135),135,ROUNDUP(CY352/3,-1)*3)))))))</f>
        <v>#VALUE!</v>
      </c>
      <c r="CZ351" s="63" t="e">
        <f>IF(CZ352&lt;21,21,IF(AND(CZ352&gt;21,CZ352&lt;=24),24,IF(AND(CZ352&gt;30,CZ352&lt;=40),40,IF(AND(CZ352&gt;40,CZ352&lt;=45),45,IF(AND(CZ352&gt;60,CZ352&lt;=75),75,IF(AND(CZ352&gt;90,CZ352&lt;=105),105,IF(AND(CZ352&gt;120,CZ352&lt;=135),135,ROUNDUP(CZ352/3,-1)*3)))))))</f>
        <v>#VALUE!</v>
      </c>
      <c r="DB351" s="63" t="e">
        <f>IF(DB352&lt;21,21,IF(AND(DB352&gt;21,DB352&lt;=24),24,IF(AND(DB352&gt;30,DB352&lt;=40),40,IF(AND(DB352&gt;40,DB352&lt;=45),45,IF(AND(DB352&gt;60,DB352&lt;=75),75,IF(AND(DB352&gt;90,DB352&lt;=105),105,IF(AND(DB352&gt;120,DB352&lt;=135),135,ROUNDUP(DB352/3,-1)*3)))))))</f>
        <v>#VALUE!</v>
      </c>
      <c r="DC351" s="63" t="e">
        <f>IF(DC352&lt;21,21,IF(AND(DC352&gt;21,DC352&lt;=24),24,IF(AND(DC352&gt;30,DC352&lt;=40),40,IF(AND(DC352&gt;40,DC352&lt;=45),45,IF(AND(DC352&gt;60,DC352&lt;=75),75,IF(AND(DC352&gt;90,DC352&lt;=105),105,IF(AND(DC352&gt;120,DC352&lt;=135),135,ROUNDUP(DC352/3,-1)*3)))))))</f>
        <v>#VALUE!</v>
      </c>
      <c r="DD351" s="155" t="e">
        <f>+MAX(CY351:DC351)</f>
        <v>#VALUE!</v>
      </c>
    </row>
    <row r="352" spans="7:108" x14ac:dyDescent="0.15">
      <c r="G352" s="410"/>
      <c r="CR352" s="63">
        <f>+CR305*0.9</f>
        <v>32.4</v>
      </c>
      <c r="CS352" s="3">
        <v>90</v>
      </c>
      <c r="CT352" s="63">
        <f>+CT305*0.9</f>
        <v>97.2</v>
      </c>
      <c r="CU352" s="3">
        <v>90</v>
      </c>
      <c r="CX352" s="3" t="s">
        <v>947</v>
      </c>
      <c r="CY352" s="63" t="e">
        <f>ROUND(SQRT(CY353/($I$31/10)*6)*10,1)</f>
        <v>#VALUE!</v>
      </c>
      <c r="CZ352" s="63" t="e">
        <f>POWER(ROUND(CZ353/($I$31/10)*12,2),1/3)*10</f>
        <v>#VALUE!</v>
      </c>
      <c r="DB352" s="63" t="e">
        <f>ROUND(SQRT(DB353/($I$31/10)*6)*10,1)</f>
        <v>#VALUE!</v>
      </c>
      <c r="DC352" s="63" t="e">
        <f>POWER(ROUND(DC353/($I$31/10)*12,2),1/3)*10</f>
        <v>#VALUE!</v>
      </c>
    </row>
    <row r="353" spans="7:108" x14ac:dyDescent="0.15">
      <c r="G353" s="410"/>
      <c r="CR353" s="3">
        <f>+CR352+0.001</f>
        <v>32.400999999999996</v>
      </c>
      <c r="CS353" s="3">
        <v>105</v>
      </c>
      <c r="CT353" s="3">
        <f>+CT352+0.001</f>
        <v>97.201000000000008</v>
      </c>
      <c r="CU353" s="3">
        <v>105</v>
      </c>
      <c r="CY353" s="63" t="e">
        <f>ROUNDUP($CV$31*POWER($G$31*100,2)/8/$DD$31,1)</f>
        <v>#VALUE!</v>
      </c>
      <c r="CZ353" s="63" t="e">
        <v>#VALUE!</v>
      </c>
      <c r="DB353" s="63" t="e">
        <f>ROUNDUP($CW$31*POWER($G$31*100,2)/8/$DE$31,1)</f>
        <v>#VALUE!</v>
      </c>
      <c r="DC353" s="63" t="e">
        <v>#VALUE!</v>
      </c>
    </row>
    <row r="354" spans="7:108" x14ac:dyDescent="0.15">
      <c r="G354" s="410"/>
      <c r="H354" s="410"/>
      <c r="I354" s="410"/>
      <c r="J354" s="410"/>
      <c r="K354" s="410"/>
      <c r="L354" s="410"/>
      <c r="M354" s="410"/>
      <c r="N354" s="410"/>
      <c r="O354" s="410"/>
      <c r="P354" s="410"/>
      <c r="Q354" s="410"/>
      <c r="R354" s="410"/>
      <c r="S354" s="410"/>
      <c r="T354" s="410"/>
      <c r="U354" s="410"/>
      <c r="CR354" s="63">
        <f>+CR307*0.9</f>
        <v>63.279000000000003</v>
      </c>
      <c r="CS354" s="3">
        <v>105</v>
      </c>
      <c r="CT354" s="63">
        <f>+CT307*0.9</f>
        <v>237.30300000000003</v>
      </c>
      <c r="CU354" s="3">
        <v>105</v>
      </c>
      <c r="CY354" s="63" t="e">
        <f>IF(CY355&lt;21,21,IF(AND(CY355&gt;21,CY355&lt;=24),24,IF(AND(CY355&gt;30,CY355&lt;=40),40,IF(AND(CY355&gt;40,CY355&lt;=45),45,IF(AND(CY355&gt;60,CY355&lt;=75),75,IF(AND(CY355&gt;90,CY355&lt;=105),105,IF(AND(CY355&gt;120,CY355&lt;=135),135,ROUNDUP(CY355/3,-1)*3)))))))</f>
        <v>#DIV/0!</v>
      </c>
      <c r="CZ354" s="63" t="e">
        <f>IF(CZ355&lt;21,21,IF(AND(CZ355&gt;21,CZ355&lt;=24),24,IF(AND(CZ355&gt;30,CZ355&lt;=40),40,IF(AND(CZ355&gt;40,CZ355&lt;=45),45,IF(AND(CZ355&gt;60,CZ355&lt;=75),75,IF(AND(CZ355&gt;90,CZ355&lt;=105),105,IF(AND(CZ355&gt;120,CZ355&lt;=135),135,ROUNDUP(CZ355/3,-1)*3)))))))</f>
        <v>#DIV/0!</v>
      </c>
      <c r="DB354" s="63" t="e">
        <f>IF(DB355&lt;21,21,IF(AND(DB355&gt;21,DB355&lt;=24),24,IF(AND(DB355&gt;30,DB355&lt;=40),40,IF(AND(DB355&gt;40,DB355&lt;=45),45,IF(AND(DB355&gt;60,DB355&lt;=75),75,IF(AND(DB355&gt;90,DB355&lt;=105),105,IF(AND(DB355&gt;120,DB355&lt;=135),135,ROUNDUP(DB355/3,-1)*3)))))))</f>
        <v>#VALUE!</v>
      </c>
      <c r="DC354" s="63" t="e">
        <f>IF(DC355&lt;21,21,IF(AND(DC355&gt;21,DC355&lt;=24),24,IF(AND(DC355&gt;30,DC355&lt;=40),40,IF(AND(DC355&gt;40,DC355&lt;=45),45,IF(AND(DC355&gt;60,DC355&lt;=75),75,IF(AND(DC355&gt;90,DC355&lt;=105),105,IF(AND(DC355&gt;120,DC355&lt;=135),135,ROUNDUP(DC355/3,-1)*3)))))))</f>
        <v>#VALUE!</v>
      </c>
      <c r="DD354" s="155" t="e">
        <f>+MAX(CY354:DC354)</f>
        <v>#DIV/0!</v>
      </c>
    </row>
    <row r="355" spans="7:108" x14ac:dyDescent="0.15">
      <c r="G355" s="410"/>
      <c r="H355" s="410"/>
      <c r="I355" s="410"/>
      <c r="J355" s="410"/>
      <c r="K355" s="410"/>
      <c r="L355" s="410"/>
      <c r="M355" s="410"/>
      <c r="N355" s="410"/>
      <c r="O355" s="410"/>
      <c r="P355" s="410"/>
      <c r="Q355" s="410"/>
      <c r="R355" s="410"/>
      <c r="S355" s="410"/>
      <c r="T355" s="410"/>
      <c r="U355" s="410"/>
      <c r="CR355" s="3">
        <f>+CR354+0.001</f>
        <v>63.28</v>
      </c>
      <c r="CS355" s="3">
        <v>120</v>
      </c>
      <c r="CT355" s="3">
        <f>+CT354+0.001</f>
        <v>237.30400000000003</v>
      </c>
      <c r="CU355" s="3">
        <v>120</v>
      </c>
      <c r="CX355" s="3" t="s">
        <v>714</v>
      </c>
      <c r="CY355" s="87" t="e">
        <f>ROUND(SQRT(CY356/($O$38/10)*6/IF(OR($Y$38=0,$Y$38=1),1,$Y$38))*10,0)</f>
        <v>#DIV/0!</v>
      </c>
      <c r="CZ355" s="87" t="e">
        <f>POWER(ROUND(CZ356/($O$38/10)*12/IF(OR($Y$38=0,$Y$38=1),1,$Y$38),0),1/3)*10</f>
        <v>#DIV/0!</v>
      </c>
      <c r="DB355" s="87" t="e">
        <f>ROUND(SQRT(DB356/($O$38/10)*6/IF(OR($Y$38=0,$Y$38=1),1,$Y$38))*10,0)</f>
        <v>#VALUE!</v>
      </c>
      <c r="DC355" s="87" t="e">
        <f>POWER(ROUND(DC356/($O$38/10)*12/IF(OR($Y$38=0,$Y$38=1),1,$Y$38),0),1/3)*10</f>
        <v>#VALUE!</v>
      </c>
    </row>
    <row r="356" spans="7:108" hidden="1" x14ac:dyDescent="0.15">
      <c r="G356" s="410"/>
      <c r="H356" s="410"/>
      <c r="I356" s="410"/>
      <c r="J356" s="410"/>
      <c r="K356" s="410"/>
      <c r="L356" s="410"/>
      <c r="M356" s="410"/>
      <c r="N356" s="410"/>
      <c r="O356" s="410"/>
      <c r="P356" s="410"/>
      <c r="Q356" s="410"/>
      <c r="R356" s="410"/>
      <c r="S356" s="410"/>
      <c r="T356" s="410"/>
      <c r="U356" s="410"/>
      <c r="CR356" s="63">
        <f>+CR309*0.9</f>
        <v>109.35000000000001</v>
      </c>
      <c r="CS356" s="3">
        <v>120</v>
      </c>
      <c r="CT356" s="63">
        <f>+CT309*0.9</f>
        <v>492.07499999999999</v>
      </c>
      <c r="CU356" s="3">
        <v>120</v>
      </c>
      <c r="CY356" s="87" t="e">
        <f>ROUNDUP($H$36*100*($DB$36*$H$36*100+2*($EP$44+IF(I295=0,0,IF(VALUE(RIGHT($I$36,4))=1,$EN$36,0))))/2/$DL$36,1)</f>
        <v>#DIV/0!</v>
      </c>
      <c r="CZ356" s="87" t="e">
        <f>ABS(ROUNDUP((3*$DB$36*POWER($H$36*100,4)+$DB$36*$H$36*100*$H$38*100*(4*POWER($H$36*100,2)-POWER($H$38*100,2))+8*($EP$44+IF(I295=0,0,IF(VALUE(RIGHT($I$36,4))=1,$EN$36*POWER($H$36*100,2)*($H$36*100+$H$38*100),0))))/(24*$CW$36*$DS$36*100),2))</f>
        <v>#DIV/0!</v>
      </c>
      <c r="DA356" s="87"/>
      <c r="DB356" s="87" t="e">
        <f>ROUNDUP($H$36*100*($DC$36*$H$36*100+2*($EP$44+IF(I295=0,0,IF(VALUE(RIGHT($I$36,4))=1,$EO$36,0))))/2/$DM$36,1)</f>
        <v>#VALUE!</v>
      </c>
      <c r="DC356" s="87" t="e">
        <f>ABS(ROUNDUP((3*$DC$36*POWER($H$36*100,4)+$DC$36*$H$36*100*$H$38*100*(4*POWER($H$36*100,2)-POWER($H$38*100,2))+8*($EP$44+IF(I295=0,0,IF(VALUE(RIGHT($I$36,4))=1,$EO$36*POWER($H$36*100,2)*($H$36*100+$H$38*100),0))))/(24*$CW$36*$DY$36*100),2))</f>
        <v>#VALUE!</v>
      </c>
    </row>
    <row r="357" spans="7:108" hidden="1" x14ac:dyDescent="0.15">
      <c r="G357" s="410" t="s">
        <v>610</v>
      </c>
      <c r="H357" s="410"/>
      <c r="I357" s="410"/>
      <c r="J357" s="410"/>
      <c r="K357" s="410"/>
      <c r="L357" s="410"/>
      <c r="M357" s="410"/>
      <c r="N357" s="410"/>
      <c r="O357" s="410"/>
      <c r="P357" s="410"/>
      <c r="Q357" s="410"/>
      <c r="R357" s="410"/>
      <c r="S357" s="410"/>
      <c r="T357" s="410"/>
      <c r="U357" s="410"/>
      <c r="CR357" s="3">
        <f>+CR356+0.001</f>
        <v>109.35100000000001</v>
      </c>
      <c r="CS357" s="3">
        <v>135</v>
      </c>
      <c r="CT357" s="3">
        <f>+CT356+0.001</f>
        <v>492.07599999999996</v>
      </c>
      <c r="CU357" s="3">
        <v>135</v>
      </c>
    </row>
    <row r="358" spans="7:108" hidden="1" x14ac:dyDescent="0.15">
      <c r="G358" s="410" t="s">
        <v>611</v>
      </c>
      <c r="H358" s="410"/>
      <c r="I358" s="410"/>
      <c r="J358" s="410"/>
      <c r="K358" s="410"/>
      <c r="L358" s="410"/>
      <c r="M358" s="410"/>
      <c r="N358" s="410"/>
      <c r="O358" s="410"/>
      <c r="P358" s="410"/>
      <c r="Q358" s="410"/>
      <c r="R358" s="410"/>
      <c r="S358" s="410"/>
      <c r="T358" s="410"/>
      <c r="U358" s="410"/>
      <c r="CR358" s="63">
        <f>+CR311*0.9</f>
        <v>173.64600000000002</v>
      </c>
      <c r="CS358" s="3">
        <v>135</v>
      </c>
      <c r="CT358" s="63">
        <f>+CT311*0.9</f>
        <v>911.62799999999993</v>
      </c>
      <c r="CU358" s="3">
        <v>135</v>
      </c>
      <c r="CX358" s="3" t="s">
        <v>778</v>
      </c>
      <c r="CY358" s="63" t="e">
        <f>VLOOKUP(CY359,CR395:CS440,2)</f>
        <v>#DIV/0!</v>
      </c>
      <c r="CZ358" s="63" t="e">
        <f>VLOOKUP(CZ359,CT395:CU440,2)</f>
        <v>#DIV/0!</v>
      </c>
      <c r="DB358" s="63" t="e">
        <f>VLOOKUP(DB359,CR395:CS440,2)</f>
        <v>#VALUE!</v>
      </c>
      <c r="DC358" s="63" t="e">
        <f>VLOOKUP(DC359,CT395:CU440,2)</f>
        <v>#VALUE!</v>
      </c>
      <c r="DD358" s="155" t="e">
        <f>+MAX(CY358:DC358)</f>
        <v>#DIV/0!</v>
      </c>
    </row>
    <row r="359" spans="7:108" hidden="1" x14ac:dyDescent="0.15">
      <c r="G359" s="410" t="s">
        <v>612</v>
      </c>
      <c r="H359" s="410"/>
      <c r="I359" s="410"/>
      <c r="J359" s="410"/>
      <c r="K359" s="410"/>
      <c r="L359" s="410"/>
      <c r="M359" s="410"/>
      <c r="N359" s="410"/>
      <c r="O359" s="410"/>
      <c r="P359" s="410"/>
      <c r="Q359" s="410"/>
      <c r="R359" s="410"/>
      <c r="S359" s="410"/>
      <c r="T359" s="410"/>
      <c r="U359" s="410"/>
      <c r="CR359" s="3">
        <f>+CR358+0.001</f>
        <v>173.64700000000002</v>
      </c>
      <c r="CS359" s="3">
        <v>150</v>
      </c>
      <c r="CT359" s="3">
        <f>+CT358+0.001</f>
        <v>911.62899999999991</v>
      </c>
      <c r="CU359" s="3">
        <v>150</v>
      </c>
      <c r="CY359" s="63" t="e">
        <f>ROUNDUP($H$36*100*($DB$37*$H$36*100+2*($EP$46+IF(I295=0,0,IF(VALUE(RIGHT($I$36,4))=1,$EN$36,0))))/2/$DL$37,1)</f>
        <v>#DIV/0!</v>
      </c>
      <c r="CZ359" s="87" t="e">
        <f>ABS(ROUNDUP((3*$DB$37*POWER($H$36*100,4)+$DB$37*$H$36*100*$H$38*100*(4*POWER($H$36*100,2)-POWER($H$38*100,2))+8*($EP$44+IF(I295=0,0,IF(VALUE(RIGHT($I$36,4))=1,$EN$37*POWER($H$36*100,2)*($H$36*100+$H$38*100),0))))/(24*$CW$36*$DS$37*100),2))</f>
        <v>#DIV/0!</v>
      </c>
      <c r="DA359" s="87"/>
      <c r="DB359" s="63" t="e">
        <f>ROUNDUP($H$36*100*($DC$37*$H$36*100+2*($EP$44+IF(I295=0,0,IF(VALUE(RIGHT($I$36,4))=1,$EO$36,0))))/2/$DM$37,1)</f>
        <v>#VALUE!</v>
      </c>
      <c r="DC359" s="87" t="e">
        <f>ABS(ROUNDUP((3*$DC$37*POWER($H$36*100,4)+$DC$37*$H$36*100*$H$38*100*(4*POWER($H$36*100,2)-POWER($H$38*100,2))+8*($EP$44+IF(I295=0,0,IF(VALUE(RIGHT($I$36,4))=1,$EO$37*POWER($H$36*100,2)*($H$36*100+$H$38*100),0))))/(24*$CW$36*$DY$37*100),2))</f>
        <v>#VALUE!</v>
      </c>
    </row>
    <row r="360" spans="7:108" hidden="1" x14ac:dyDescent="0.15">
      <c r="G360" s="410" t="s">
        <v>613</v>
      </c>
      <c r="H360" s="410"/>
      <c r="I360" s="410"/>
      <c r="J360" s="410"/>
      <c r="K360" s="410"/>
      <c r="L360" s="410"/>
      <c r="M360" s="410"/>
      <c r="N360" s="410"/>
      <c r="O360" s="410"/>
      <c r="P360" s="410"/>
      <c r="Q360" s="410"/>
      <c r="R360" s="410"/>
      <c r="S360" s="410"/>
      <c r="T360" s="410"/>
      <c r="U360" s="410"/>
      <c r="CR360" s="63">
        <f>+CR313*0.9</f>
        <v>259.2</v>
      </c>
      <c r="CS360" s="3">
        <v>150</v>
      </c>
      <c r="CT360" s="63">
        <f>+CT313*0.9</f>
        <v>1555.2</v>
      </c>
      <c r="CU360" s="3">
        <v>150</v>
      </c>
      <c r="CY360" s="63" t="e">
        <f>IF(CY361&lt;21,21,IF(AND(CY361&gt;21,CY361&lt;=24),24,IF(AND(CY361&gt;30,CY361&lt;=40),40,IF(AND(CY361&gt;40,CY361&lt;=45),45,IF(AND(CY361&gt;60,CY361&lt;=75),75,IF(AND(CY361&gt;90,CY361&lt;=105),105,IF(AND(CY361&gt;120,CY361&lt;=135),135,ROUNDUP(CY361/3,-1)*3)))))))</f>
        <v>#DIV/0!</v>
      </c>
      <c r="CZ360" s="63" t="e">
        <f>IF(CZ361&lt;21,21,IF(AND(CZ361&gt;21,CZ361&lt;=24),24,IF(AND(CZ361&gt;30,CZ361&lt;=40),40,IF(AND(CZ361&gt;40,CZ361&lt;=45),45,IF(AND(CZ361&gt;60,CZ361&lt;=75),75,IF(AND(CZ361&gt;90,CZ361&lt;=105),105,IF(AND(CZ361&gt;120,CZ361&lt;=135),135,ROUNDUP(CZ361/3,-1)*3)))))))</f>
        <v>#VALUE!</v>
      </c>
      <c r="DB360" s="63" t="e">
        <f>IF(DB361&lt;21,21,IF(AND(DB361&gt;21,DB361&lt;=24),24,IF(AND(DB361&gt;30,DB361&lt;=40),40,IF(AND(DB361&gt;40,DB361&lt;=45),45,IF(AND(DB361&gt;60,DB361&lt;=75),75,IF(AND(DB361&gt;90,DB361&lt;=105),105,IF(AND(DB361&gt;120,DB361&lt;=135),135,ROUNDUP(DB361/3,-1)*3)))))))</f>
        <v>#VALUE!</v>
      </c>
      <c r="DC360" s="63" t="e">
        <f>IF(DC361&lt;21,21,IF(AND(DC361&gt;21,DC361&lt;=24),24,IF(AND(DC361&gt;30,DC361&lt;=40),40,IF(AND(DC361&gt;40,DC361&lt;=45),45,IF(AND(DC361&gt;60,DC361&lt;=75),75,IF(AND(DC361&gt;90,DC361&lt;=105),105,IF(AND(DC361&gt;120,DC361&lt;=135),135,ROUNDUP(DC361/3,-1)*3)))))))</f>
        <v>#VALUE!</v>
      </c>
      <c r="DD360" s="155" t="e">
        <f>+MAX(CY360:DC360)</f>
        <v>#DIV/0!</v>
      </c>
    </row>
    <row r="361" spans="7:108" hidden="1" x14ac:dyDescent="0.15">
      <c r="G361" s="410" t="s">
        <v>614</v>
      </c>
      <c r="H361" s="410"/>
      <c r="I361" s="410"/>
      <c r="J361" s="410"/>
      <c r="K361" s="410"/>
      <c r="L361" s="410"/>
      <c r="M361" s="410"/>
      <c r="N361" s="410"/>
      <c r="O361" s="410"/>
      <c r="P361" s="410"/>
      <c r="Q361" s="410"/>
      <c r="R361" s="410"/>
      <c r="S361" s="410"/>
      <c r="T361" s="410"/>
      <c r="U361" s="410"/>
      <c r="CR361" s="3">
        <f>+CR360+0.001</f>
        <v>259.20099999999996</v>
      </c>
      <c r="CS361" s="3">
        <v>180</v>
      </c>
      <c r="CT361" s="3">
        <f>+CT360+0.001</f>
        <v>1555.201</v>
      </c>
      <c r="CU361" s="3">
        <v>180</v>
      </c>
      <c r="CX361" s="3" t="s">
        <v>715</v>
      </c>
      <c r="CY361" s="87" t="e">
        <f>ROUND(SQRT(CY362/($O$38/10)*6/IF(OR($Y$38=0,$Y$38=1),1,$Y$38))*10,0)</f>
        <v>#DIV/0!</v>
      </c>
      <c r="CZ361" s="87" t="e">
        <f>POWER(ROUND(CZ362/($O$38/10)*12/IF(OR($Y$38=0,$Y$38=1),1,$Y$38),0),1/3)*10</f>
        <v>#VALUE!</v>
      </c>
      <c r="DB361" s="87" t="e">
        <f>ROUND(SQRT(DB362/($O$38/10)*6/IF(OR($Y$38=0,$Y$38=1),1,$Y$38))*10,0)</f>
        <v>#VALUE!</v>
      </c>
      <c r="DC361" s="87" t="e">
        <f>POWER(ROUND(DC362/($O$38/10)*12/IF(OR($Y$38=0,$Y$38=1),1,$Y$38),0),1/3)*10</f>
        <v>#VALUE!</v>
      </c>
    </row>
    <row r="362" spans="7:108" hidden="1" x14ac:dyDescent="0.15">
      <c r="G362" s="410" t="s">
        <v>540</v>
      </c>
      <c r="H362" s="410"/>
      <c r="I362" s="410"/>
      <c r="J362" s="410"/>
      <c r="K362" s="410"/>
      <c r="L362" s="410"/>
      <c r="M362" s="410"/>
      <c r="N362" s="410"/>
      <c r="O362" s="410"/>
      <c r="P362" s="410"/>
      <c r="Q362" s="410"/>
      <c r="R362" s="410"/>
      <c r="S362" s="410"/>
      <c r="T362" s="410"/>
      <c r="U362" s="410"/>
      <c r="CR362" s="63">
        <f>+CR315*0.9</f>
        <v>438.75</v>
      </c>
      <c r="CS362" s="3">
        <v>180</v>
      </c>
      <c r="CT362" s="63">
        <f>+CT315*0.9</f>
        <v>3290.625</v>
      </c>
      <c r="CU362" s="3">
        <v>180</v>
      </c>
      <c r="CY362" s="87" t="e">
        <f>ABS(ROUNDUP(($DB$38*$H$38*100*POWER($CV$38,2)-2*($EP$44+$EN$36*$H$36*100*$CV$38))/2/($H$38*100)/$DL$38,1))</f>
        <v>#DIV/0!</v>
      </c>
      <c r="CZ362" s="87" t="e">
        <v>#VALUE!</v>
      </c>
      <c r="DA362" s="87"/>
      <c r="DB362" s="87" t="e">
        <f>ABS(ROUNDUP(($DC$38*$H$38*100*POWER($CV$38,2)-2*($EP$44+IF(I295=0,0,IF(VALUE(RIGHT($I$36,4))=1,$EO$36*$H$36*100*$CV$38,0))))/2/($H$38*100)/$DM$38,1))</f>
        <v>#VALUE!</v>
      </c>
      <c r="DC362" s="87" t="e">
        <v>#VALUE!</v>
      </c>
    </row>
    <row r="363" spans="7:108" hidden="1" x14ac:dyDescent="0.15">
      <c r="G363" s="410" t="s">
        <v>615</v>
      </c>
      <c r="H363" s="410"/>
      <c r="I363" s="410"/>
      <c r="J363" s="410"/>
      <c r="K363" s="410"/>
      <c r="L363" s="410"/>
      <c r="M363" s="410"/>
      <c r="N363" s="410"/>
      <c r="O363" s="410"/>
      <c r="P363" s="410"/>
      <c r="Q363" s="410"/>
      <c r="R363" s="410"/>
      <c r="S363" s="410"/>
      <c r="T363" s="410"/>
      <c r="U363" s="410"/>
      <c r="CR363" s="3">
        <f>+CR362+0.001</f>
        <v>438.75099999999998</v>
      </c>
      <c r="CS363" s="3">
        <v>210</v>
      </c>
      <c r="CT363" s="3">
        <f>+CT362+0.001</f>
        <v>3290.6260000000002</v>
      </c>
      <c r="CU363" s="3">
        <v>210</v>
      </c>
    </row>
    <row r="364" spans="7:108" hidden="1" x14ac:dyDescent="0.15">
      <c r="G364" s="410" t="s">
        <v>616</v>
      </c>
      <c r="H364" s="410"/>
      <c r="I364" s="410"/>
      <c r="J364" s="410"/>
      <c r="K364" s="410"/>
      <c r="L364" s="410"/>
      <c r="M364" s="410"/>
      <c r="N364" s="410"/>
      <c r="O364" s="410"/>
      <c r="P364" s="410"/>
      <c r="Q364" s="410"/>
      <c r="R364" s="410"/>
      <c r="S364" s="410"/>
      <c r="T364" s="410"/>
      <c r="U364" s="410"/>
      <c r="CR364" s="63">
        <f>+CR317*0.9</f>
        <v>777.6</v>
      </c>
      <c r="CS364" s="3">
        <v>210</v>
      </c>
      <c r="CT364" s="63">
        <f>+CT317*0.9</f>
        <v>6998.4000000000005</v>
      </c>
      <c r="CU364" s="3">
        <v>210</v>
      </c>
      <c r="CX364" s="3" t="s">
        <v>778</v>
      </c>
      <c r="CY364" s="63" t="e">
        <f>IF(CY365&lt;42,60,VLOOKUP(CY365,$CR$43:$CS$87,2))</f>
        <v>#DIV/0!</v>
      </c>
      <c r="CZ364" s="63" t="e">
        <f>VLOOKUP(CZ365,$CT$43:$CU$87,2)</f>
        <v>#VALUE!</v>
      </c>
      <c r="DB364" s="63" t="e">
        <f>IF(DB365&lt;42,60,VLOOKUP(DB365,$CR$43:$CS$87,2))</f>
        <v>#VALUE!</v>
      </c>
      <c r="DC364" s="63" t="e">
        <f>VLOOKUP(DC365,$CT$43:$CU$87,2)</f>
        <v>#VALUE!</v>
      </c>
      <c r="DD364" s="155" t="e">
        <f>+MAX(CY364:DC364)</f>
        <v>#DIV/0!</v>
      </c>
    </row>
    <row r="365" spans="7:108" hidden="1" x14ac:dyDescent="0.15">
      <c r="G365" s="410" t="s">
        <v>617</v>
      </c>
      <c r="H365" s="410"/>
      <c r="I365" s="410"/>
      <c r="J365" s="410"/>
      <c r="K365" s="410"/>
      <c r="L365" s="410"/>
      <c r="M365" s="410"/>
      <c r="N365" s="410"/>
      <c r="O365" s="410"/>
      <c r="P365" s="410"/>
      <c r="Q365" s="410"/>
      <c r="R365" s="410"/>
      <c r="S365" s="410"/>
      <c r="T365" s="410"/>
      <c r="U365" s="410"/>
      <c r="CR365" s="3">
        <f>+CR364+0.001</f>
        <v>777.601</v>
      </c>
      <c r="CS365" s="3">
        <v>240</v>
      </c>
      <c r="CT365" s="3">
        <f>+CT364+0.001</f>
        <v>6998.4010000000007</v>
      </c>
      <c r="CU365" s="3">
        <v>240</v>
      </c>
      <c r="CY365" s="87" t="e">
        <f>ABS(ROUNDUP(($DB$39*$H$38*100*POWER($CV$38,2)-2*($EP$46+$EN$36*$H$36*100*$CV$38))/2/($H$38*100)/$DL$39,1))</f>
        <v>#DIV/0!</v>
      </c>
      <c r="CZ365" s="87" t="e">
        <v>#VALUE!</v>
      </c>
      <c r="DA365" s="87"/>
      <c r="DB365" s="87" t="e">
        <f>ABS(ROUNDUP(($DC$39*$H$38*100*POWER($CV$38,2)-2*($EP$44+IF(I295=0,0,IF(VALUE(RIGHT($I$36,4))=1,$EO$36*$H$36*100*$CV$38,0))))/2/($H$38*100)/$DM$39,1))</f>
        <v>#VALUE!</v>
      </c>
      <c r="DC365" s="87" t="e">
        <v>#VALUE!</v>
      </c>
    </row>
    <row r="366" spans="7:108" hidden="1" x14ac:dyDescent="0.15">
      <c r="G366" s="410" t="s">
        <v>618</v>
      </c>
      <c r="H366" s="410"/>
      <c r="I366" s="410"/>
      <c r="J366" s="410"/>
      <c r="K366" s="410"/>
      <c r="L366" s="410"/>
      <c r="M366" s="410"/>
      <c r="N366" s="410"/>
      <c r="O366" s="410"/>
      <c r="P366" s="410"/>
      <c r="Q366" s="410"/>
      <c r="R366" s="410"/>
      <c r="S366" s="410"/>
      <c r="T366" s="410"/>
      <c r="U366" s="410"/>
      <c r="CR366" s="63">
        <f>+CR319*0.9</f>
        <v>1256.8500000000001</v>
      </c>
      <c r="CS366" s="3">
        <f>+CS364+30</f>
        <v>240</v>
      </c>
      <c r="CT366" s="63">
        <f>+CT319*0.9</f>
        <v>13196.925000000001</v>
      </c>
      <c r="CU366" s="3">
        <f>+CU364+30</f>
        <v>240</v>
      </c>
    </row>
    <row r="367" spans="7:108" hidden="1" x14ac:dyDescent="0.15">
      <c r="G367" s="410" t="s">
        <v>619</v>
      </c>
      <c r="H367" s="410"/>
      <c r="I367" s="410"/>
      <c r="J367" s="410"/>
      <c r="K367" s="410"/>
      <c r="L367" s="410"/>
      <c r="M367" s="410"/>
      <c r="N367" s="410"/>
      <c r="O367" s="410"/>
      <c r="P367" s="410"/>
      <c r="Q367" s="410"/>
      <c r="R367" s="410"/>
      <c r="S367" s="410"/>
      <c r="T367" s="410"/>
      <c r="U367" s="410"/>
      <c r="CR367" s="3">
        <f>+CR366+0.001</f>
        <v>1256.8510000000001</v>
      </c>
      <c r="CS367" s="3">
        <v>270</v>
      </c>
      <c r="CT367" s="3">
        <f>+CT366+0.001</f>
        <v>13196.926000000001</v>
      </c>
      <c r="CU367" s="3">
        <v>270</v>
      </c>
    </row>
    <row r="368" spans="7:108" hidden="1" x14ac:dyDescent="0.15">
      <c r="G368" s="410" t="s">
        <v>620</v>
      </c>
      <c r="H368" s="410"/>
      <c r="I368" s="410"/>
      <c r="J368" s="410"/>
      <c r="K368" s="410"/>
      <c r="L368" s="410"/>
      <c r="M368" s="410"/>
      <c r="N368" s="410"/>
      <c r="O368" s="410"/>
      <c r="P368" s="410"/>
      <c r="Q368" s="410"/>
      <c r="R368" s="410"/>
      <c r="S368" s="410"/>
      <c r="T368" s="410"/>
      <c r="U368" s="410"/>
      <c r="CR368" s="63">
        <f>+CR321*0.9</f>
        <v>1900.8</v>
      </c>
      <c r="CS368" s="3">
        <f>+CS366+30</f>
        <v>270</v>
      </c>
      <c r="CT368" s="63">
        <f>+CT321*0.9</f>
        <v>22809.600000000002</v>
      </c>
      <c r="CU368" s="3">
        <f>+CU366+30</f>
        <v>270</v>
      </c>
      <c r="CX368" s="63">
        <v>1</v>
      </c>
      <c r="CY368" s="3" t="s">
        <v>948</v>
      </c>
      <c r="CZ368" s="96" t="e">
        <v>#REF!</v>
      </c>
    </row>
    <row r="369" spans="7:104" hidden="1" x14ac:dyDescent="0.15">
      <c r="G369" s="699" t="s">
        <v>621</v>
      </c>
      <c r="H369" s="410"/>
      <c r="I369" s="410"/>
      <c r="J369" s="410"/>
      <c r="K369" s="410"/>
      <c r="L369" s="410"/>
      <c r="M369" s="410"/>
      <c r="N369" s="410"/>
      <c r="O369" s="410"/>
      <c r="P369" s="410"/>
      <c r="Q369" s="410"/>
      <c r="R369" s="410"/>
      <c r="S369" s="410"/>
      <c r="T369" s="410"/>
      <c r="U369" s="410"/>
      <c r="CR369" s="3">
        <f>+CR368+0.001</f>
        <v>1900.8009999999999</v>
      </c>
      <c r="CS369" s="3">
        <v>300</v>
      </c>
      <c r="CT369" s="3">
        <f>+CT368+0.001</f>
        <v>22809.601000000002</v>
      </c>
      <c r="CU369" s="3">
        <v>300</v>
      </c>
      <c r="CX369" s="63">
        <v>2</v>
      </c>
      <c r="CY369" s="3" t="s">
        <v>949</v>
      </c>
      <c r="CZ369" s="96" t="e">
        <v>#REF!</v>
      </c>
    </row>
    <row r="370" spans="7:104" hidden="1" x14ac:dyDescent="0.15">
      <c r="G370" s="410"/>
      <c r="H370" s="410"/>
      <c r="I370" s="410"/>
      <c r="J370" s="410"/>
      <c r="K370" s="410"/>
      <c r="L370" s="410"/>
      <c r="M370" s="410"/>
      <c r="N370" s="410"/>
      <c r="O370" s="410"/>
      <c r="P370" s="410"/>
      <c r="Q370" s="410"/>
      <c r="R370" s="410"/>
      <c r="S370" s="410"/>
      <c r="T370" s="410"/>
      <c r="U370" s="410"/>
      <c r="CR370" s="63">
        <f>+CR323*0.9</f>
        <v>2733.75</v>
      </c>
      <c r="CS370" s="3">
        <f>+CS368+30</f>
        <v>300</v>
      </c>
      <c r="CT370" s="63">
        <f>+CT323*0.9</f>
        <v>36905.625</v>
      </c>
      <c r="CU370" s="3">
        <f>+CU368+30</f>
        <v>300</v>
      </c>
      <c r="CX370" s="63">
        <v>3</v>
      </c>
      <c r="CY370" s="3" t="s">
        <v>950</v>
      </c>
      <c r="CZ370" s="96" t="e">
        <v>#REF!</v>
      </c>
    </row>
    <row r="371" spans="7:104" hidden="1" x14ac:dyDescent="0.15">
      <c r="G371" s="410"/>
      <c r="H371" s="410"/>
      <c r="I371" s="410"/>
      <c r="J371" s="410"/>
      <c r="K371" s="410"/>
      <c r="L371" s="410"/>
      <c r="M371" s="410"/>
      <c r="N371" s="410"/>
      <c r="O371" s="410"/>
      <c r="P371" s="410"/>
      <c r="Q371" s="410"/>
      <c r="R371" s="410"/>
      <c r="S371" s="410"/>
      <c r="T371" s="410"/>
      <c r="U371" s="410"/>
      <c r="CR371" s="3">
        <f>+CR370+0.001</f>
        <v>2733.7510000000002</v>
      </c>
      <c r="CS371" s="3">
        <v>330</v>
      </c>
      <c r="CT371" s="3">
        <f>+CT370+0.001</f>
        <v>36905.625999999997</v>
      </c>
      <c r="CU371" s="3">
        <v>330</v>
      </c>
      <c r="CX371" s="63">
        <v>4</v>
      </c>
      <c r="CY371" s="3" t="s">
        <v>951</v>
      </c>
      <c r="CZ371" s="96" t="e">
        <v>#REF!</v>
      </c>
    </row>
    <row r="372" spans="7:104" hidden="1" x14ac:dyDescent="0.15">
      <c r="G372" s="410" t="s">
        <v>956</v>
      </c>
      <c r="H372" s="410"/>
      <c r="I372" s="410"/>
      <c r="J372" s="410"/>
      <c r="K372" s="410"/>
      <c r="L372" s="410"/>
      <c r="M372" s="410"/>
      <c r="N372" s="410"/>
      <c r="O372" s="410"/>
      <c r="P372" s="410"/>
      <c r="Q372" s="410"/>
      <c r="R372" s="410"/>
      <c r="S372" s="410"/>
      <c r="T372" s="410"/>
      <c r="U372" s="410"/>
      <c r="CR372" s="63">
        <f>+CR325*0.9</f>
        <v>3780</v>
      </c>
      <c r="CS372" s="3">
        <f>+CS370+30</f>
        <v>330</v>
      </c>
      <c r="CT372" s="63">
        <f>+CT325*0.9</f>
        <v>56700</v>
      </c>
      <c r="CU372" s="3">
        <f>+CU370+30</f>
        <v>330</v>
      </c>
      <c r="CX372" s="63">
        <v>5</v>
      </c>
      <c r="CY372" s="3" t="s">
        <v>952</v>
      </c>
      <c r="CZ372" s="96" t="e">
        <v>#REF!</v>
      </c>
    </row>
    <row r="373" spans="7:104" hidden="1" x14ac:dyDescent="0.15">
      <c r="G373" s="410" t="s">
        <v>957</v>
      </c>
      <c r="H373" s="410"/>
      <c r="I373" s="410"/>
      <c r="J373" s="410"/>
      <c r="K373" s="410"/>
      <c r="L373" s="410"/>
      <c r="M373" s="410"/>
      <c r="N373" s="410"/>
      <c r="O373" s="410"/>
      <c r="P373" s="410"/>
      <c r="Q373" s="410"/>
      <c r="R373" s="410"/>
      <c r="S373" s="410"/>
      <c r="T373" s="410"/>
      <c r="U373" s="410"/>
      <c r="CR373" s="3">
        <f>+CR372+0.001</f>
        <v>3780.0010000000002</v>
      </c>
      <c r="CS373" s="3">
        <f>+CS374</f>
        <v>360</v>
      </c>
      <c r="CT373" s="3">
        <f>+CT372+0.001</f>
        <v>56700.000999999997</v>
      </c>
      <c r="CU373" s="3">
        <f>+CU374</f>
        <v>360</v>
      </c>
      <c r="CX373" s="63">
        <v>6</v>
      </c>
      <c r="CY373" s="23" t="s">
        <v>732</v>
      </c>
      <c r="CZ373" s="96" t="e">
        <v>#REF!</v>
      </c>
    </row>
    <row r="374" spans="7:104" x14ac:dyDescent="0.15">
      <c r="G374" s="410"/>
      <c r="H374" s="410"/>
      <c r="I374" s="410"/>
      <c r="J374" s="410"/>
      <c r="K374" s="410"/>
      <c r="L374" s="410"/>
      <c r="M374" s="410"/>
      <c r="N374" s="410"/>
      <c r="O374" s="410"/>
      <c r="P374" s="410"/>
      <c r="Q374" s="410"/>
      <c r="R374" s="410"/>
      <c r="S374" s="410"/>
      <c r="T374" s="410"/>
      <c r="U374" s="410"/>
      <c r="CR374" s="63">
        <f>+CR327*0.9</f>
        <v>5063.8500000000004</v>
      </c>
      <c r="CS374" s="3">
        <f>+CS372+30</f>
        <v>360</v>
      </c>
      <c r="CT374" s="63">
        <f>+CT327*0.9</f>
        <v>83553.525000000009</v>
      </c>
      <c r="CU374" s="3">
        <f>+CU372+30</f>
        <v>360</v>
      </c>
      <c r="CX374" s="63"/>
      <c r="CY374" s="23"/>
      <c r="CZ374" s="96"/>
    </row>
    <row r="375" spans="7:104" x14ac:dyDescent="0.15">
      <c r="G375" s="410"/>
      <c r="H375" s="410"/>
      <c r="I375" s="410"/>
      <c r="J375" s="410"/>
      <c r="K375" s="410"/>
      <c r="L375" s="410"/>
      <c r="M375" s="410"/>
      <c r="N375" s="410"/>
      <c r="O375" s="410"/>
      <c r="P375" s="410"/>
      <c r="Q375" s="410"/>
      <c r="R375" s="410"/>
      <c r="S375" s="410"/>
      <c r="T375" s="410"/>
      <c r="U375" s="410"/>
      <c r="CR375" s="3">
        <f>+CR374+0.001</f>
        <v>5063.8510000000006</v>
      </c>
      <c r="CS375" s="3">
        <f>+CS376</f>
        <v>390</v>
      </c>
      <c r="CT375" s="3">
        <f>+CT374+0.001</f>
        <v>83553.526000000013</v>
      </c>
      <c r="CU375" s="3">
        <f>+CU376</f>
        <v>390</v>
      </c>
      <c r="CX375" s="63"/>
      <c r="CY375" s="23"/>
      <c r="CZ375" s="96"/>
    </row>
    <row r="376" spans="7:104" x14ac:dyDescent="0.15">
      <c r="G376" s="410"/>
      <c r="H376" s="410"/>
      <c r="I376" s="410"/>
      <c r="J376" s="410"/>
      <c r="K376" s="410"/>
      <c r="L376" s="410"/>
      <c r="M376" s="410"/>
      <c r="N376" s="410"/>
      <c r="O376" s="410"/>
      <c r="P376" s="410"/>
      <c r="Q376" s="410"/>
      <c r="R376" s="410"/>
      <c r="S376" s="410"/>
      <c r="T376" s="410"/>
      <c r="U376" s="410"/>
      <c r="CR376" s="63">
        <f>+CR329*0.9</f>
        <v>6609.6</v>
      </c>
      <c r="CS376" s="3">
        <f>+CS374+30</f>
        <v>390</v>
      </c>
      <c r="CT376" s="63">
        <f>+CT329*0.9</f>
        <v>118972.8</v>
      </c>
      <c r="CU376" s="3">
        <f>+CU374+30</f>
        <v>390</v>
      </c>
      <c r="CX376" s="63"/>
      <c r="CY376" s="23"/>
      <c r="CZ376" s="96"/>
    </row>
    <row r="377" spans="7:104" x14ac:dyDescent="0.15">
      <c r="G377" s="410"/>
      <c r="H377" s="410"/>
      <c r="I377" s="410"/>
      <c r="J377" s="410"/>
      <c r="K377" s="410"/>
      <c r="L377" s="410"/>
      <c r="M377" s="410"/>
      <c r="N377" s="410"/>
      <c r="O377" s="410"/>
      <c r="P377" s="410"/>
      <c r="Q377" s="410"/>
      <c r="R377" s="410"/>
      <c r="S377" s="410"/>
      <c r="T377" s="410"/>
      <c r="U377" s="410"/>
      <c r="CR377" s="3">
        <f>+CR376+0.001</f>
        <v>6609.6010000000006</v>
      </c>
      <c r="CS377" s="3">
        <f>+CS378</f>
        <v>420</v>
      </c>
      <c r="CT377" s="3">
        <f>+CT376+0.001</f>
        <v>118972.80100000001</v>
      </c>
      <c r="CU377" s="3">
        <f>+CU378</f>
        <v>420</v>
      </c>
      <c r="CX377" s="63"/>
      <c r="CY377" s="23"/>
      <c r="CZ377" s="96"/>
    </row>
    <row r="378" spans="7:104" x14ac:dyDescent="0.15">
      <c r="G378" s="410"/>
      <c r="H378" s="410"/>
      <c r="I378" s="410"/>
      <c r="J378" s="410"/>
      <c r="K378" s="410"/>
      <c r="L378" s="410"/>
      <c r="M378" s="410"/>
      <c r="N378" s="410"/>
      <c r="O378" s="410"/>
      <c r="P378" s="410"/>
      <c r="Q378" s="410"/>
      <c r="R378" s="410"/>
      <c r="S378" s="410"/>
      <c r="T378" s="410"/>
      <c r="U378" s="410"/>
      <c r="CR378" s="63">
        <f>+CR331*0.9</f>
        <v>8441.5500000000011</v>
      </c>
      <c r="CS378" s="3">
        <f>+CS376+30</f>
        <v>420</v>
      </c>
      <c r="CT378" s="63">
        <f>+CT331*0.9</f>
        <v>164610.22500000001</v>
      </c>
      <c r="CU378" s="3">
        <f>+CU376+30</f>
        <v>420</v>
      </c>
      <c r="CX378" s="63"/>
      <c r="CY378" s="23"/>
      <c r="CZ378" s="96"/>
    </row>
    <row r="379" spans="7:104" x14ac:dyDescent="0.15">
      <c r="G379" s="410"/>
      <c r="H379" s="410"/>
      <c r="I379" s="410"/>
      <c r="J379" s="410"/>
      <c r="K379" s="410"/>
      <c r="L379" s="410"/>
      <c r="M379" s="410"/>
      <c r="N379" s="410"/>
      <c r="O379" s="410"/>
      <c r="P379" s="410"/>
      <c r="Q379" s="410"/>
      <c r="R379" s="410"/>
      <c r="S379" s="410"/>
      <c r="T379" s="410"/>
      <c r="U379" s="410"/>
      <c r="CR379" s="3">
        <f>+CR378+0.001</f>
        <v>8441.5510000000013</v>
      </c>
      <c r="CS379" s="3">
        <f>+CS380</f>
        <v>450</v>
      </c>
      <c r="CT379" s="3">
        <f>+CT378+0.001</f>
        <v>164610.226</v>
      </c>
      <c r="CU379" s="3">
        <f>+CU380</f>
        <v>450</v>
      </c>
      <c r="CX379" s="63"/>
      <c r="CY379" s="23"/>
      <c r="CZ379" s="96"/>
    </row>
    <row r="380" spans="7:104" x14ac:dyDescent="0.15">
      <c r="G380" s="410"/>
      <c r="H380" s="410"/>
      <c r="I380" s="410"/>
      <c r="J380" s="410"/>
      <c r="K380" s="410"/>
      <c r="L380" s="410"/>
      <c r="M380" s="410"/>
      <c r="N380" s="410"/>
      <c r="O380" s="410"/>
      <c r="P380" s="410"/>
      <c r="Q380" s="410"/>
      <c r="R380" s="410"/>
      <c r="S380" s="410"/>
      <c r="T380" s="410"/>
      <c r="U380" s="410"/>
      <c r="CR380" s="63">
        <f>+CR333*0.9</f>
        <v>10584</v>
      </c>
      <c r="CS380" s="3">
        <f>+CS378+30</f>
        <v>450</v>
      </c>
      <c r="CT380" s="63">
        <f>+CT333*0.9</f>
        <v>222264</v>
      </c>
      <c r="CU380" s="3">
        <f>+CU378+30</f>
        <v>450</v>
      </c>
      <c r="CX380" s="63"/>
      <c r="CY380" s="23"/>
      <c r="CZ380" s="96"/>
    </row>
    <row r="381" spans="7:104" x14ac:dyDescent="0.15">
      <c r="G381" s="410"/>
      <c r="H381" s="410"/>
      <c r="I381" s="410"/>
      <c r="J381" s="410"/>
      <c r="K381" s="410"/>
      <c r="L381" s="410"/>
      <c r="M381" s="410"/>
      <c r="N381" s="410"/>
      <c r="O381" s="410"/>
      <c r="P381" s="410"/>
      <c r="Q381" s="410"/>
      <c r="R381" s="410"/>
      <c r="S381" s="410"/>
      <c r="T381" s="410"/>
      <c r="U381" s="410"/>
      <c r="CR381" s="3">
        <f>+CR380+0.001</f>
        <v>10584.001</v>
      </c>
      <c r="CS381" s="3">
        <f>+CS382</f>
        <v>480</v>
      </c>
      <c r="CT381" s="3">
        <f>+CT380+0.001</f>
        <v>222264.00099999999</v>
      </c>
      <c r="CU381" s="3">
        <f>+CU382</f>
        <v>480</v>
      </c>
      <c r="CX381" s="63"/>
      <c r="CY381" s="23"/>
      <c r="CZ381" s="96"/>
    </row>
    <row r="382" spans="7:104" x14ac:dyDescent="0.15">
      <c r="G382" s="410"/>
      <c r="H382" s="410"/>
      <c r="I382" s="410"/>
      <c r="J382" s="410"/>
      <c r="K382" s="410"/>
      <c r="L382" s="410"/>
      <c r="M382" s="410"/>
      <c r="N382" s="410"/>
      <c r="O382" s="410"/>
      <c r="P382" s="410"/>
      <c r="Q382" s="410"/>
      <c r="R382" s="410"/>
      <c r="S382" s="410"/>
      <c r="T382" s="410"/>
      <c r="U382" s="410"/>
      <c r="CR382" s="63">
        <f>+CR335*0.9</f>
        <v>13061.25</v>
      </c>
      <c r="CS382" s="3">
        <f>+CS380+30</f>
        <v>480</v>
      </c>
      <c r="CT382" s="63">
        <f>+CT335*0.9</f>
        <v>293878.125</v>
      </c>
      <c r="CU382" s="3">
        <f>+CU380+30</f>
        <v>480</v>
      </c>
      <c r="CX382" s="63"/>
      <c r="CY382" s="23"/>
      <c r="CZ382" s="96"/>
    </row>
    <row r="383" spans="7:104" x14ac:dyDescent="0.15">
      <c r="G383" s="410"/>
      <c r="H383" s="410"/>
      <c r="I383" s="410"/>
      <c r="J383" s="410"/>
      <c r="K383" s="410"/>
      <c r="L383" s="410"/>
      <c r="M383" s="410"/>
      <c r="N383" s="410"/>
      <c r="O383" s="410"/>
      <c r="P383" s="410"/>
      <c r="Q383" s="410"/>
      <c r="R383" s="410"/>
      <c r="S383" s="410"/>
      <c r="T383" s="410"/>
      <c r="U383" s="410"/>
      <c r="CR383" s="3">
        <f>+CR382+0.001</f>
        <v>13061.251</v>
      </c>
      <c r="CS383" s="3">
        <f>+CS384</f>
        <v>510</v>
      </c>
      <c r="CT383" s="3">
        <f>+CT382+0.001</f>
        <v>293878.12599999999</v>
      </c>
      <c r="CU383" s="3">
        <f>+CU384</f>
        <v>510</v>
      </c>
      <c r="CX383" s="63"/>
      <c r="CY383" s="23"/>
      <c r="CZ383" s="96"/>
    </row>
    <row r="384" spans="7:104" x14ac:dyDescent="0.15">
      <c r="G384" s="410"/>
      <c r="H384" s="410"/>
      <c r="I384" s="410"/>
      <c r="J384" s="410"/>
      <c r="K384" s="410"/>
      <c r="L384" s="410"/>
      <c r="M384" s="410"/>
      <c r="N384" s="410"/>
      <c r="O384" s="410"/>
      <c r="P384" s="410"/>
      <c r="Q384" s="410"/>
      <c r="R384" s="410"/>
      <c r="S384" s="410"/>
      <c r="T384" s="410"/>
      <c r="U384" s="410"/>
      <c r="CR384" s="63">
        <f>+CR337*0.9</f>
        <v>15897.6</v>
      </c>
      <c r="CS384" s="3">
        <f>+CS382+30</f>
        <v>510</v>
      </c>
      <c r="CT384" s="63">
        <f>+CT337*0.9</f>
        <v>381542.40000000002</v>
      </c>
      <c r="CU384" s="3">
        <f>+CU382+30</f>
        <v>510</v>
      </c>
      <c r="CX384" s="63"/>
      <c r="CY384" s="23"/>
      <c r="CZ384" s="96"/>
    </row>
    <row r="385" spans="7:104" x14ac:dyDescent="0.15">
      <c r="G385" s="410"/>
      <c r="H385" s="410"/>
      <c r="I385" s="410"/>
      <c r="J385" s="410"/>
      <c r="K385" s="410"/>
      <c r="L385" s="410"/>
      <c r="M385" s="410"/>
      <c r="N385" s="410"/>
      <c r="O385" s="410"/>
      <c r="P385" s="410"/>
      <c r="Q385" s="410"/>
      <c r="R385" s="410"/>
      <c r="S385" s="410"/>
      <c r="T385" s="410"/>
      <c r="U385" s="410"/>
      <c r="CR385" s="3">
        <f>+CR384+0.001</f>
        <v>15897.601000000001</v>
      </c>
      <c r="CS385" s="3">
        <f>+CS386</f>
        <v>540</v>
      </c>
      <c r="CT385" s="3">
        <f>+CT384+0.001</f>
        <v>381542.40100000001</v>
      </c>
      <c r="CU385" s="3">
        <f>+CU386</f>
        <v>540</v>
      </c>
      <c r="CX385" s="63"/>
      <c r="CY385" s="23"/>
      <c r="CZ385" s="96"/>
    </row>
    <row r="386" spans="7:104" x14ac:dyDescent="0.15">
      <c r="G386" s="410"/>
      <c r="H386" s="410"/>
      <c r="I386" s="410"/>
      <c r="J386" s="410"/>
      <c r="K386" s="410"/>
      <c r="L386" s="410"/>
      <c r="M386" s="410"/>
      <c r="N386" s="410"/>
      <c r="O386" s="410"/>
      <c r="P386" s="410"/>
      <c r="Q386" s="410"/>
      <c r="R386" s="410"/>
      <c r="S386" s="410"/>
      <c r="T386" s="410"/>
      <c r="U386" s="410"/>
      <c r="CR386" s="63">
        <f>+CR339*0.9</f>
        <v>19117.350000000002</v>
      </c>
      <c r="CS386" s="3">
        <f>+CS384+30</f>
        <v>540</v>
      </c>
      <c r="CT386" s="63">
        <f>+CT339*0.9</f>
        <v>487492.42499999999</v>
      </c>
      <c r="CU386" s="3">
        <f>+CU384+30</f>
        <v>540</v>
      </c>
      <c r="CX386" s="63"/>
      <c r="CY386" s="23"/>
      <c r="CZ386" s="96"/>
    </row>
    <row r="387" spans="7:104" x14ac:dyDescent="0.15">
      <c r="G387" s="410"/>
      <c r="H387" s="410"/>
      <c r="I387" s="410"/>
      <c r="J387" s="410"/>
      <c r="K387" s="410"/>
      <c r="L387" s="410"/>
      <c r="M387" s="410"/>
      <c r="N387" s="410"/>
      <c r="O387" s="410"/>
      <c r="P387" s="410"/>
      <c r="Q387" s="410"/>
      <c r="R387" s="410"/>
      <c r="S387" s="410"/>
      <c r="T387" s="410"/>
      <c r="U387" s="410"/>
      <c r="CR387" s="3">
        <f>+CR386+0.001</f>
        <v>19117.351000000002</v>
      </c>
      <c r="CS387" s="3">
        <f>+CS388</f>
        <v>570</v>
      </c>
      <c r="CT387" s="3">
        <f>+CT386+0.001</f>
        <v>487492.42599999998</v>
      </c>
      <c r="CU387" s="3">
        <f>+CU388</f>
        <v>570</v>
      </c>
      <c r="CX387" s="63"/>
      <c r="CY387" s="23"/>
      <c r="CZ387" s="96"/>
    </row>
    <row r="388" spans="7:104" x14ac:dyDescent="0.15">
      <c r="G388" s="410"/>
      <c r="H388" s="410"/>
      <c r="I388" s="410"/>
      <c r="J388" s="410"/>
      <c r="K388" s="410"/>
      <c r="L388" s="410"/>
      <c r="M388" s="410"/>
      <c r="N388" s="410"/>
      <c r="O388" s="410"/>
      <c r="P388" s="410"/>
      <c r="Q388" s="410"/>
      <c r="R388" s="410"/>
      <c r="S388" s="410"/>
      <c r="T388" s="410"/>
      <c r="U388" s="410"/>
      <c r="CR388" s="63">
        <f>+CR341*0.9</f>
        <v>22744.799999999999</v>
      </c>
      <c r="CS388" s="3">
        <f>+CS386+30</f>
        <v>570</v>
      </c>
      <c r="CT388" s="63">
        <f>+CT341*0.9</f>
        <v>614109.6</v>
      </c>
      <c r="CU388" s="3">
        <f>+CU386+30</f>
        <v>570</v>
      </c>
      <c r="CX388" s="63"/>
      <c r="CY388" s="23"/>
      <c r="CZ388" s="96"/>
    </row>
    <row r="389" spans="7:104" x14ac:dyDescent="0.15">
      <c r="G389" s="410"/>
      <c r="H389" s="410"/>
      <c r="I389" s="410"/>
      <c r="J389" s="410"/>
      <c r="K389" s="410"/>
      <c r="L389" s="410"/>
      <c r="M389" s="410"/>
      <c r="N389" s="410"/>
      <c r="O389" s="410"/>
      <c r="P389" s="410"/>
      <c r="Q389" s="410"/>
      <c r="R389" s="410"/>
      <c r="S389" s="410"/>
      <c r="T389" s="410"/>
      <c r="U389" s="410"/>
      <c r="CR389" s="3">
        <f>+CR388+0.001</f>
        <v>22744.800999999999</v>
      </c>
      <c r="CS389" s="3">
        <f>+CS390</f>
        <v>600</v>
      </c>
      <c r="CT389" s="3">
        <f>+CT388+0.001</f>
        <v>614109.60100000002</v>
      </c>
      <c r="CU389" s="3">
        <f>+CU390</f>
        <v>600</v>
      </c>
      <c r="CX389" s="63"/>
      <c r="CY389" s="23"/>
      <c r="CZ389" s="96"/>
    </row>
    <row r="390" spans="7:104" x14ac:dyDescent="0.15">
      <c r="G390" s="410"/>
      <c r="H390" s="410"/>
      <c r="I390" s="410"/>
      <c r="J390" s="410"/>
      <c r="K390" s="410"/>
      <c r="L390" s="410"/>
      <c r="M390" s="410"/>
      <c r="N390" s="410"/>
      <c r="O390" s="410"/>
      <c r="P390" s="410"/>
      <c r="Q390" s="410"/>
      <c r="R390" s="410"/>
      <c r="S390" s="410"/>
      <c r="T390" s="410"/>
      <c r="U390" s="410"/>
      <c r="CR390" s="63">
        <f>+CR343*0.9</f>
        <v>26804.25</v>
      </c>
      <c r="CS390" s="3">
        <f>+CS388+30</f>
        <v>600</v>
      </c>
      <c r="CT390" s="63">
        <f>+CT343*0.9</f>
        <v>763921.125</v>
      </c>
      <c r="CU390" s="3">
        <f>+CU388+30</f>
        <v>600</v>
      </c>
      <c r="CX390" s="63"/>
      <c r="CY390" s="23"/>
      <c r="CZ390" s="96"/>
    </row>
    <row r="391" spans="7:104" x14ac:dyDescent="0.15">
      <c r="G391" s="410"/>
      <c r="H391" s="410"/>
      <c r="I391" s="410"/>
      <c r="J391" s="410"/>
      <c r="K391" s="410"/>
      <c r="L391" s="410"/>
      <c r="M391" s="410"/>
      <c r="N391" s="410"/>
      <c r="O391" s="410"/>
      <c r="P391" s="410"/>
      <c r="Q391" s="410"/>
      <c r="R391" s="410"/>
      <c r="S391" s="410"/>
      <c r="T391" s="410"/>
      <c r="U391" s="410"/>
      <c r="CR391" s="3">
        <f>+CR390+0.001</f>
        <v>26804.251</v>
      </c>
      <c r="CS391" s="3">
        <f>+CS392</f>
        <v>630</v>
      </c>
      <c r="CT391" s="3">
        <f>+CT390+0.001</f>
        <v>763921.12600000005</v>
      </c>
      <c r="CU391" s="3">
        <f>+CU392</f>
        <v>630</v>
      </c>
    </row>
    <row r="392" spans="7:104" x14ac:dyDescent="0.15">
      <c r="G392" s="410"/>
      <c r="H392" s="410"/>
      <c r="I392" s="410"/>
      <c r="J392" s="410"/>
      <c r="K392" s="410"/>
      <c r="L392" s="410"/>
      <c r="M392" s="410"/>
      <c r="N392" s="410"/>
      <c r="O392" s="410"/>
      <c r="P392" s="410"/>
      <c r="Q392" s="410"/>
      <c r="R392" s="410"/>
      <c r="S392" s="410"/>
      <c r="T392" s="410"/>
      <c r="U392" s="410"/>
      <c r="CR392" s="63">
        <f>+CR345*0.9</f>
        <v>31320</v>
      </c>
      <c r="CS392" s="3">
        <f>+CS390+30</f>
        <v>630</v>
      </c>
      <c r="CT392" s="63">
        <f>+CT345*0.9</f>
        <v>939600</v>
      </c>
      <c r="CU392" s="3">
        <f>+CU390+30</f>
        <v>630</v>
      </c>
    </row>
    <row r="393" spans="7:104" x14ac:dyDescent="0.15">
      <c r="G393" s="410"/>
      <c r="H393" s="410"/>
      <c r="I393" s="410"/>
      <c r="J393" s="410"/>
      <c r="K393" s="410"/>
      <c r="L393" s="410"/>
      <c r="M393" s="410"/>
      <c r="N393" s="410"/>
      <c r="O393" s="410"/>
      <c r="P393" s="410"/>
      <c r="Q393" s="410"/>
      <c r="R393" s="410"/>
      <c r="S393" s="410"/>
      <c r="T393" s="410"/>
      <c r="U393" s="410"/>
      <c r="CR393" s="3">
        <f>+CR392+0.001</f>
        <v>31320.001</v>
      </c>
      <c r="CT393" s="3">
        <f>+CT392+0.001</f>
        <v>939600.00100000005</v>
      </c>
    </row>
    <row r="394" spans="7:104" x14ac:dyDescent="0.15">
      <c r="G394" s="410"/>
      <c r="H394" s="410"/>
      <c r="I394" s="410"/>
      <c r="J394" s="410"/>
      <c r="K394" s="410"/>
      <c r="L394" s="410"/>
      <c r="M394" s="410"/>
      <c r="N394" s="410"/>
      <c r="O394" s="410"/>
      <c r="P394" s="410"/>
      <c r="Q394" s="410"/>
      <c r="R394" s="410"/>
      <c r="S394" s="410"/>
      <c r="T394" s="410"/>
      <c r="U394" s="410"/>
    </row>
    <row r="395" spans="7:104" x14ac:dyDescent="0.15">
      <c r="G395" s="410"/>
      <c r="H395" s="410"/>
      <c r="I395" s="410"/>
      <c r="J395" s="410"/>
      <c r="K395" s="410"/>
      <c r="L395" s="410"/>
      <c r="M395" s="410"/>
      <c r="N395" s="410"/>
      <c r="O395" s="410"/>
      <c r="P395" s="410"/>
      <c r="Q395" s="410"/>
      <c r="R395" s="410"/>
      <c r="S395" s="410"/>
      <c r="T395" s="410"/>
      <c r="U395" s="410"/>
      <c r="CQ395" s="3">
        <v>0.8</v>
      </c>
      <c r="CR395" s="63">
        <f>+CR301*0.8</f>
        <v>3.6</v>
      </c>
      <c r="CS395" s="3">
        <v>60</v>
      </c>
      <c r="CT395" s="63">
        <f>+CT301*0.8</f>
        <v>5.4</v>
      </c>
      <c r="CU395" s="3">
        <v>60</v>
      </c>
    </row>
    <row r="396" spans="7:104" x14ac:dyDescent="0.15">
      <c r="G396" s="410"/>
      <c r="H396" s="410"/>
      <c r="I396" s="410"/>
      <c r="J396" s="410"/>
      <c r="K396" s="410"/>
      <c r="L396" s="410"/>
      <c r="M396" s="410"/>
      <c r="N396" s="410"/>
      <c r="O396" s="410"/>
      <c r="P396" s="410"/>
      <c r="Q396" s="410"/>
      <c r="R396" s="410"/>
      <c r="S396" s="410"/>
      <c r="T396" s="410"/>
      <c r="U396" s="410"/>
      <c r="CR396" s="3">
        <f>+CR395+0.001</f>
        <v>3.601</v>
      </c>
      <c r="CS396" s="3">
        <v>75</v>
      </c>
      <c r="CT396" s="3">
        <f>+CT395+0.001</f>
        <v>5.4010000000000007</v>
      </c>
      <c r="CU396" s="3">
        <v>75</v>
      </c>
    </row>
    <row r="397" spans="7:104" x14ac:dyDescent="0.15">
      <c r="G397" s="410"/>
      <c r="H397" s="410"/>
      <c r="I397" s="410"/>
      <c r="J397" s="410"/>
      <c r="K397" s="410"/>
      <c r="L397" s="410"/>
      <c r="M397" s="410"/>
      <c r="N397" s="410"/>
      <c r="O397" s="410"/>
      <c r="P397" s="410"/>
      <c r="Q397" s="410"/>
      <c r="R397" s="410"/>
      <c r="S397" s="410"/>
      <c r="T397" s="410"/>
      <c r="U397" s="410"/>
      <c r="CR397" s="63">
        <f>+CR303*0.8</f>
        <v>12.152000000000001</v>
      </c>
      <c r="CS397" s="3">
        <v>75</v>
      </c>
      <c r="CT397" s="63">
        <f>+CT303*0.8</f>
        <v>27.336000000000002</v>
      </c>
      <c r="CU397" s="3">
        <v>75</v>
      </c>
    </row>
    <row r="398" spans="7:104" x14ac:dyDescent="0.15">
      <c r="G398" s="410"/>
      <c r="H398" s="410"/>
      <c r="I398" s="410"/>
      <c r="J398" s="410"/>
      <c r="K398" s="410"/>
      <c r="L398" s="410"/>
      <c r="M398" s="410"/>
      <c r="N398" s="410"/>
      <c r="O398" s="410"/>
      <c r="P398" s="410"/>
      <c r="Q398" s="410"/>
      <c r="R398" s="410"/>
      <c r="S398" s="410"/>
      <c r="T398" s="410"/>
      <c r="U398" s="410"/>
      <c r="CR398" s="3">
        <f>+CR397+0.001</f>
        <v>12.153</v>
      </c>
      <c r="CS398" s="3">
        <v>90</v>
      </c>
      <c r="CT398" s="3">
        <f>+CT397+0.001</f>
        <v>27.337000000000003</v>
      </c>
      <c r="CU398" s="3">
        <v>90</v>
      </c>
    </row>
    <row r="399" spans="7:104" x14ac:dyDescent="0.15">
      <c r="G399" s="410"/>
      <c r="H399" s="410"/>
      <c r="I399" s="410"/>
      <c r="J399" s="410"/>
      <c r="K399" s="410"/>
      <c r="L399" s="410"/>
      <c r="M399" s="410"/>
      <c r="N399" s="410"/>
      <c r="O399" s="410"/>
      <c r="P399" s="410"/>
      <c r="Q399" s="410"/>
      <c r="R399" s="410"/>
      <c r="S399" s="410"/>
      <c r="T399" s="410"/>
      <c r="U399" s="410"/>
      <c r="CR399" s="63">
        <f>+CR305*0.8</f>
        <v>28.8</v>
      </c>
      <c r="CS399" s="3">
        <v>90</v>
      </c>
      <c r="CT399" s="63">
        <f>+CT305*0.8</f>
        <v>86.4</v>
      </c>
      <c r="CU399" s="3">
        <v>90</v>
      </c>
    </row>
    <row r="400" spans="7:104" x14ac:dyDescent="0.15">
      <c r="G400" s="410"/>
      <c r="H400" s="410"/>
      <c r="I400" s="410"/>
      <c r="J400" s="410"/>
      <c r="K400" s="410"/>
      <c r="L400" s="410"/>
      <c r="M400" s="410"/>
      <c r="N400" s="410"/>
      <c r="O400" s="410"/>
      <c r="P400" s="410"/>
      <c r="Q400" s="410"/>
      <c r="R400" s="410"/>
      <c r="S400" s="410"/>
      <c r="T400" s="410"/>
      <c r="U400" s="410"/>
      <c r="CR400" s="3">
        <f>+CR399+0.001</f>
        <v>28.801000000000002</v>
      </c>
      <c r="CS400" s="3">
        <v>105</v>
      </c>
      <c r="CT400" s="3">
        <f>+CT399+0.001</f>
        <v>86.40100000000001</v>
      </c>
      <c r="CU400" s="3">
        <v>105</v>
      </c>
    </row>
    <row r="401" spans="7:99" x14ac:dyDescent="0.15">
      <c r="G401" s="410"/>
      <c r="H401" s="410"/>
      <c r="I401" s="410"/>
      <c r="J401" s="410"/>
      <c r="K401" s="410"/>
      <c r="L401" s="410"/>
      <c r="M401" s="410"/>
      <c r="N401" s="410"/>
      <c r="O401" s="410"/>
      <c r="P401" s="410"/>
      <c r="Q401" s="410"/>
      <c r="R401" s="410"/>
      <c r="S401" s="410"/>
      <c r="T401" s="410"/>
      <c r="U401" s="410"/>
      <c r="CR401" s="63">
        <f>+CR307*0.8</f>
        <v>56.248000000000005</v>
      </c>
      <c r="CS401" s="3">
        <v>105</v>
      </c>
      <c r="CT401" s="63">
        <f>+CT307*0.8</f>
        <v>210.93600000000004</v>
      </c>
      <c r="CU401" s="3">
        <v>105</v>
      </c>
    </row>
    <row r="402" spans="7:99" x14ac:dyDescent="0.15">
      <c r="G402" s="410"/>
      <c r="H402" s="410"/>
      <c r="I402" s="410"/>
      <c r="J402" s="410"/>
      <c r="K402" s="410"/>
      <c r="L402" s="410"/>
      <c r="M402" s="410"/>
      <c r="N402" s="410"/>
      <c r="O402" s="410"/>
      <c r="P402" s="410"/>
      <c r="Q402" s="410"/>
      <c r="R402" s="410"/>
      <c r="S402" s="410"/>
      <c r="T402" s="410"/>
      <c r="U402" s="410"/>
      <c r="CR402" s="3">
        <f>+CR401+0.001</f>
        <v>56.249000000000002</v>
      </c>
      <c r="CS402" s="3">
        <v>120</v>
      </c>
      <c r="CT402" s="3">
        <f>+CT401+0.001</f>
        <v>210.93700000000004</v>
      </c>
      <c r="CU402" s="3">
        <v>120</v>
      </c>
    </row>
    <row r="403" spans="7:99" x14ac:dyDescent="0.15">
      <c r="G403" s="410"/>
      <c r="H403" s="410"/>
      <c r="I403" s="410"/>
      <c r="J403" s="410"/>
      <c r="K403" s="410"/>
      <c r="L403" s="410"/>
      <c r="M403" s="410"/>
      <c r="N403" s="410"/>
      <c r="O403" s="410"/>
      <c r="P403" s="410"/>
      <c r="Q403" s="410"/>
      <c r="R403" s="410"/>
      <c r="S403" s="410"/>
      <c r="T403" s="410"/>
      <c r="U403" s="410"/>
      <c r="CR403" s="63">
        <f>+CR309*0.8</f>
        <v>97.2</v>
      </c>
      <c r="CS403" s="3">
        <v>120</v>
      </c>
      <c r="CT403" s="63">
        <f>+CT309*0.8</f>
        <v>437.40000000000003</v>
      </c>
      <c r="CU403" s="3">
        <v>120</v>
      </c>
    </row>
    <row r="404" spans="7:99" x14ac:dyDescent="0.15">
      <c r="G404" s="410"/>
      <c r="H404" s="410"/>
      <c r="I404" s="410"/>
      <c r="J404" s="410"/>
      <c r="K404" s="410"/>
      <c r="L404" s="410"/>
      <c r="M404" s="410"/>
      <c r="N404" s="410"/>
      <c r="O404" s="410"/>
      <c r="P404" s="410"/>
      <c r="Q404" s="410"/>
      <c r="R404" s="410"/>
      <c r="S404" s="410"/>
      <c r="T404" s="410"/>
      <c r="U404" s="410"/>
      <c r="CR404" s="3">
        <f>+CR403+0.001</f>
        <v>97.201000000000008</v>
      </c>
      <c r="CS404" s="3">
        <v>135</v>
      </c>
      <c r="CT404" s="3">
        <f>+CT403+0.001</f>
        <v>437.40100000000001</v>
      </c>
      <c r="CU404" s="3">
        <v>135</v>
      </c>
    </row>
    <row r="405" spans="7:99" x14ac:dyDescent="0.15">
      <c r="G405" s="410"/>
      <c r="H405" s="410"/>
      <c r="I405" s="410"/>
      <c r="J405" s="410"/>
      <c r="K405" s="410"/>
      <c r="L405" s="410"/>
      <c r="M405" s="410"/>
      <c r="N405" s="410"/>
      <c r="O405" s="410"/>
      <c r="P405" s="410"/>
      <c r="Q405" s="410"/>
      <c r="R405" s="410"/>
      <c r="S405" s="410"/>
      <c r="T405" s="410"/>
      <c r="U405" s="410"/>
      <c r="CR405" s="63">
        <f>+CR311*0.8</f>
        <v>154.352</v>
      </c>
      <c r="CS405" s="3">
        <v>135</v>
      </c>
      <c r="CT405" s="63">
        <f>+CT311*0.8</f>
        <v>810.33600000000001</v>
      </c>
      <c r="CU405" s="3">
        <v>135</v>
      </c>
    </row>
    <row r="406" spans="7:99" x14ac:dyDescent="0.15">
      <c r="G406" s="410"/>
      <c r="H406" s="410"/>
      <c r="I406" s="410"/>
      <c r="J406" s="410"/>
      <c r="K406" s="410"/>
      <c r="L406" s="410"/>
      <c r="M406" s="410"/>
      <c r="N406" s="410"/>
      <c r="O406" s="410"/>
      <c r="P406" s="410"/>
      <c r="Q406" s="410"/>
      <c r="R406" s="410"/>
      <c r="S406" s="410"/>
      <c r="T406" s="410"/>
      <c r="U406" s="410"/>
      <c r="CR406" s="3">
        <f>+CR405+0.001</f>
        <v>154.35300000000001</v>
      </c>
      <c r="CS406" s="3">
        <v>150</v>
      </c>
      <c r="CT406" s="3">
        <f>+CT405+0.001</f>
        <v>810.33699999999999</v>
      </c>
      <c r="CU406" s="3">
        <v>150</v>
      </c>
    </row>
    <row r="407" spans="7:99" x14ac:dyDescent="0.15">
      <c r="G407" s="410"/>
      <c r="H407" s="410"/>
      <c r="I407" s="410"/>
      <c r="J407" s="410"/>
      <c r="K407" s="410"/>
      <c r="L407" s="410"/>
      <c r="M407" s="410"/>
      <c r="N407" s="410"/>
      <c r="O407" s="410"/>
      <c r="P407" s="410"/>
      <c r="Q407" s="410"/>
      <c r="R407" s="410"/>
      <c r="S407" s="410"/>
      <c r="T407" s="410"/>
      <c r="U407" s="410"/>
      <c r="CR407" s="63">
        <f>+CR313*0.8</f>
        <v>230.4</v>
      </c>
      <c r="CS407" s="3">
        <v>150</v>
      </c>
      <c r="CT407" s="63">
        <f>+CT313*0.8</f>
        <v>1382.4</v>
      </c>
      <c r="CU407" s="3">
        <v>150</v>
      </c>
    </row>
    <row r="408" spans="7:99" x14ac:dyDescent="0.15">
      <c r="G408" s="410"/>
      <c r="H408" s="410"/>
      <c r="I408" s="410"/>
      <c r="J408" s="410"/>
      <c r="K408" s="410"/>
      <c r="L408" s="410"/>
      <c r="M408" s="410"/>
      <c r="N408" s="410"/>
      <c r="O408" s="410"/>
      <c r="P408" s="410"/>
      <c r="Q408" s="410"/>
      <c r="R408" s="410"/>
      <c r="S408" s="410"/>
      <c r="T408" s="410"/>
      <c r="U408" s="410"/>
      <c r="CR408" s="3">
        <f>+CR407+0.001</f>
        <v>230.40100000000001</v>
      </c>
      <c r="CS408" s="3">
        <v>180</v>
      </c>
      <c r="CT408" s="3">
        <f>+CT407+0.001</f>
        <v>1382.4010000000001</v>
      </c>
      <c r="CU408" s="3">
        <v>180</v>
      </c>
    </row>
    <row r="409" spans="7:99" x14ac:dyDescent="0.15">
      <c r="G409" s="410"/>
      <c r="H409" s="410"/>
      <c r="I409" s="410"/>
      <c r="J409" s="410"/>
      <c r="K409" s="410"/>
      <c r="L409" s="410"/>
      <c r="M409" s="410"/>
      <c r="N409" s="410"/>
      <c r="O409" s="410"/>
      <c r="P409" s="410"/>
      <c r="Q409" s="410"/>
      <c r="R409" s="410"/>
      <c r="S409" s="410"/>
      <c r="T409" s="410"/>
      <c r="U409" s="410"/>
      <c r="CR409" s="63">
        <f>+CR315*0.8</f>
        <v>390</v>
      </c>
      <c r="CS409" s="3">
        <v>180</v>
      </c>
      <c r="CT409" s="63">
        <f>+CT315*0.8</f>
        <v>2925</v>
      </c>
      <c r="CU409" s="3">
        <v>180</v>
      </c>
    </row>
    <row r="410" spans="7:99" x14ac:dyDescent="0.15">
      <c r="G410" s="410"/>
      <c r="H410" s="410"/>
      <c r="I410" s="410"/>
      <c r="J410" s="410"/>
      <c r="K410" s="410"/>
      <c r="L410" s="410"/>
      <c r="M410" s="410"/>
      <c r="N410" s="410"/>
      <c r="O410" s="410"/>
      <c r="P410" s="410"/>
      <c r="Q410" s="410"/>
      <c r="R410" s="410"/>
      <c r="S410" s="410"/>
      <c r="T410" s="410"/>
      <c r="U410" s="410"/>
      <c r="CR410" s="3">
        <f>+CR409+0.001</f>
        <v>390.00099999999998</v>
      </c>
      <c r="CS410" s="3">
        <v>210</v>
      </c>
      <c r="CT410" s="3">
        <f>+CT409+0.001</f>
        <v>2925.0010000000002</v>
      </c>
      <c r="CU410" s="3">
        <v>210</v>
      </c>
    </row>
    <row r="411" spans="7:99" x14ac:dyDescent="0.15">
      <c r="G411" s="410"/>
      <c r="H411" s="410"/>
      <c r="I411" s="410"/>
      <c r="J411" s="410"/>
      <c r="K411" s="410"/>
      <c r="L411" s="410"/>
      <c r="M411" s="410"/>
      <c r="N411" s="410"/>
      <c r="O411" s="410"/>
      <c r="P411" s="410"/>
      <c r="Q411" s="410"/>
      <c r="R411" s="410"/>
      <c r="S411" s="410"/>
      <c r="T411" s="410"/>
      <c r="U411" s="410"/>
      <c r="CR411" s="63">
        <f>+CR317*0.8</f>
        <v>691.2</v>
      </c>
      <c r="CS411" s="3">
        <v>210</v>
      </c>
      <c r="CT411" s="63">
        <f>+CT317*0.8</f>
        <v>6220.8</v>
      </c>
      <c r="CU411" s="3">
        <v>210</v>
      </c>
    </row>
    <row r="412" spans="7:99" x14ac:dyDescent="0.15">
      <c r="G412" s="410"/>
      <c r="H412" s="410"/>
      <c r="I412" s="410"/>
      <c r="J412" s="410"/>
      <c r="K412" s="410"/>
      <c r="L412" s="410"/>
      <c r="M412" s="410"/>
      <c r="N412" s="410"/>
      <c r="O412" s="410"/>
      <c r="P412" s="410"/>
      <c r="Q412" s="410"/>
      <c r="R412" s="410"/>
      <c r="S412" s="410"/>
      <c r="T412" s="410"/>
      <c r="U412" s="410"/>
      <c r="CR412" s="3">
        <f>+CR411+0.001</f>
        <v>691.20100000000002</v>
      </c>
      <c r="CS412" s="3">
        <v>240</v>
      </c>
      <c r="CT412" s="3">
        <f>+CT411+0.001</f>
        <v>6220.8010000000004</v>
      </c>
      <c r="CU412" s="3">
        <v>240</v>
      </c>
    </row>
    <row r="413" spans="7:99" x14ac:dyDescent="0.15">
      <c r="G413" s="410"/>
      <c r="H413" s="410"/>
      <c r="I413" s="410"/>
      <c r="J413" s="410"/>
      <c r="K413" s="410"/>
      <c r="L413" s="410"/>
      <c r="M413" s="410"/>
      <c r="N413" s="410"/>
      <c r="O413" s="410"/>
      <c r="P413" s="410"/>
      <c r="Q413" s="410"/>
      <c r="R413" s="410"/>
      <c r="S413" s="410"/>
      <c r="T413" s="410"/>
      <c r="U413" s="410"/>
      <c r="CR413" s="63">
        <f>+CR319*0.8</f>
        <v>1117.2</v>
      </c>
      <c r="CS413" s="3">
        <f>+CS411+30</f>
        <v>240</v>
      </c>
      <c r="CT413" s="63">
        <f>+CT319*0.8</f>
        <v>11730.6</v>
      </c>
      <c r="CU413" s="3">
        <f>+CU411+30</f>
        <v>240</v>
      </c>
    </row>
    <row r="414" spans="7:99" x14ac:dyDescent="0.15">
      <c r="G414" s="410"/>
      <c r="H414" s="410"/>
      <c r="I414" s="410"/>
      <c r="J414" s="410"/>
      <c r="K414" s="410"/>
      <c r="L414" s="410"/>
      <c r="M414" s="410"/>
      <c r="N414" s="410"/>
      <c r="O414" s="410"/>
      <c r="P414" s="410"/>
      <c r="Q414" s="410"/>
      <c r="R414" s="410"/>
      <c r="S414" s="410"/>
      <c r="T414" s="410"/>
      <c r="U414" s="410"/>
      <c r="CR414" s="3">
        <f>+CR413+0.001</f>
        <v>1117.201</v>
      </c>
      <c r="CS414" s="3">
        <v>270</v>
      </c>
      <c r="CT414" s="3">
        <f>+CT413+0.001</f>
        <v>11730.601000000001</v>
      </c>
      <c r="CU414" s="3">
        <v>270</v>
      </c>
    </row>
    <row r="415" spans="7:99" x14ac:dyDescent="0.15">
      <c r="G415" s="410"/>
      <c r="H415" s="410"/>
      <c r="I415" s="410"/>
      <c r="J415" s="410"/>
      <c r="K415" s="410"/>
      <c r="L415" s="410"/>
      <c r="M415" s="410"/>
      <c r="N415" s="410"/>
      <c r="O415" s="410"/>
      <c r="P415" s="410"/>
      <c r="Q415" s="410"/>
      <c r="R415" s="410"/>
      <c r="S415" s="410"/>
      <c r="T415" s="410"/>
      <c r="U415" s="410"/>
      <c r="CR415" s="63">
        <f>+CR321*0.8</f>
        <v>1689.6000000000001</v>
      </c>
      <c r="CS415" s="3">
        <f>+CS413+30</f>
        <v>270</v>
      </c>
      <c r="CT415" s="63">
        <f>+CT321*0.8</f>
        <v>20275.2</v>
      </c>
      <c r="CU415" s="3">
        <f>+CU413+30</f>
        <v>270</v>
      </c>
    </row>
    <row r="416" spans="7:99" x14ac:dyDescent="0.15">
      <c r="G416" s="410"/>
      <c r="H416" s="410"/>
      <c r="I416" s="410"/>
      <c r="J416" s="410"/>
      <c r="K416" s="410"/>
      <c r="L416" s="410"/>
      <c r="M416" s="410"/>
      <c r="N416" s="410"/>
      <c r="O416" s="410"/>
      <c r="P416" s="410"/>
      <c r="Q416" s="410"/>
      <c r="R416" s="410"/>
      <c r="S416" s="410"/>
      <c r="T416" s="410"/>
      <c r="U416" s="410"/>
      <c r="CR416" s="3">
        <f>+CR415+0.001</f>
        <v>1689.6010000000001</v>
      </c>
      <c r="CS416" s="3">
        <v>300</v>
      </c>
      <c r="CT416" s="3">
        <f>+CT415+0.001</f>
        <v>20275.201000000001</v>
      </c>
      <c r="CU416" s="3">
        <v>300</v>
      </c>
    </row>
    <row r="417" spans="7:99" x14ac:dyDescent="0.15">
      <c r="G417" s="410"/>
      <c r="H417" s="410"/>
      <c r="I417" s="410"/>
      <c r="J417" s="410"/>
      <c r="K417" s="410"/>
      <c r="L417" s="410"/>
      <c r="M417" s="410"/>
      <c r="N417" s="410"/>
      <c r="O417" s="410"/>
      <c r="P417" s="410"/>
      <c r="Q417" s="410"/>
      <c r="R417" s="410"/>
      <c r="S417" s="410"/>
      <c r="T417" s="410"/>
      <c r="U417" s="410"/>
      <c r="CR417" s="63">
        <f>+CR323*0.8</f>
        <v>2430</v>
      </c>
      <c r="CS417" s="3">
        <f>+CS415+30</f>
        <v>300</v>
      </c>
      <c r="CT417" s="63">
        <f>+CT323*0.8</f>
        <v>32805</v>
      </c>
      <c r="CU417" s="3">
        <f>+CU415+30</f>
        <v>300</v>
      </c>
    </row>
    <row r="418" spans="7:99" x14ac:dyDescent="0.15">
      <c r="G418" s="410"/>
      <c r="H418" s="410"/>
      <c r="I418" s="410"/>
      <c r="J418" s="410"/>
      <c r="K418" s="410"/>
      <c r="L418" s="410"/>
      <c r="M418" s="410"/>
      <c r="N418" s="410"/>
      <c r="O418" s="410"/>
      <c r="P418" s="410"/>
      <c r="Q418" s="410"/>
      <c r="R418" s="410"/>
      <c r="S418" s="410"/>
      <c r="T418" s="410"/>
      <c r="U418" s="410"/>
      <c r="CR418" s="3">
        <f>+CR417+0.001</f>
        <v>2430.0010000000002</v>
      </c>
      <c r="CS418" s="3">
        <v>330</v>
      </c>
      <c r="CT418" s="3">
        <f>+CT417+0.001</f>
        <v>32805.000999999997</v>
      </c>
      <c r="CU418" s="3">
        <v>330</v>
      </c>
    </row>
    <row r="419" spans="7:99" x14ac:dyDescent="0.15">
      <c r="G419" s="410"/>
      <c r="H419" s="410"/>
      <c r="I419" s="410"/>
      <c r="J419" s="410"/>
      <c r="K419" s="410"/>
      <c r="L419" s="410"/>
      <c r="M419" s="410"/>
      <c r="N419" s="410"/>
      <c r="O419" s="410"/>
      <c r="P419" s="410"/>
      <c r="Q419" s="410"/>
      <c r="R419" s="410"/>
      <c r="S419" s="410"/>
      <c r="T419" s="410"/>
      <c r="U419" s="410"/>
      <c r="CR419" s="63">
        <f>+CR325*0.8</f>
        <v>3360</v>
      </c>
      <c r="CS419" s="3">
        <f>+CS417+30</f>
        <v>330</v>
      </c>
      <c r="CT419" s="63">
        <f>+CT325*0.8</f>
        <v>50400</v>
      </c>
      <c r="CU419" s="3">
        <f>+CU417+30</f>
        <v>330</v>
      </c>
    </row>
    <row r="420" spans="7:99" x14ac:dyDescent="0.15">
      <c r="G420" s="410"/>
      <c r="H420" s="410"/>
      <c r="I420" s="410"/>
      <c r="J420" s="410"/>
      <c r="K420" s="410"/>
      <c r="L420" s="410"/>
      <c r="M420" s="410"/>
      <c r="N420" s="410"/>
      <c r="O420" s="410"/>
      <c r="P420" s="410"/>
      <c r="Q420" s="410"/>
      <c r="R420" s="410"/>
      <c r="S420" s="410"/>
      <c r="T420" s="410"/>
      <c r="U420" s="410"/>
      <c r="CR420" s="3">
        <f>+CR419+0.001</f>
        <v>3360.0010000000002</v>
      </c>
      <c r="CS420" s="3">
        <f>+CS421</f>
        <v>360</v>
      </c>
      <c r="CT420" s="3">
        <f>+CT419+0.001</f>
        <v>50400.000999999997</v>
      </c>
      <c r="CU420" s="3">
        <f>+CU421</f>
        <v>360</v>
      </c>
    </row>
    <row r="421" spans="7:99" x14ac:dyDescent="0.15">
      <c r="G421" s="410"/>
      <c r="H421" s="410"/>
      <c r="I421" s="410"/>
      <c r="J421" s="410"/>
      <c r="K421" s="410"/>
      <c r="L421" s="410"/>
      <c r="M421" s="410"/>
      <c r="N421" s="410"/>
      <c r="O421" s="410"/>
      <c r="P421" s="410"/>
      <c r="Q421" s="410"/>
      <c r="R421" s="410"/>
      <c r="S421" s="410"/>
      <c r="T421" s="410"/>
      <c r="U421" s="410"/>
      <c r="CR421" s="63">
        <f>+CR327*0.8</f>
        <v>4501.2</v>
      </c>
      <c r="CS421" s="3">
        <f>+CS419+30</f>
        <v>360</v>
      </c>
      <c r="CT421" s="63">
        <f>+CT327*0.8</f>
        <v>74269.8</v>
      </c>
      <c r="CU421" s="3">
        <f>+CU419+30</f>
        <v>360</v>
      </c>
    </row>
    <row r="422" spans="7:99" x14ac:dyDescent="0.15">
      <c r="G422" s="410"/>
      <c r="H422" s="410"/>
      <c r="I422" s="410"/>
      <c r="J422" s="410"/>
      <c r="K422" s="410"/>
      <c r="L422" s="410"/>
      <c r="M422" s="410"/>
      <c r="N422" s="410"/>
      <c r="O422" s="410"/>
      <c r="P422" s="410"/>
      <c r="Q422" s="410"/>
      <c r="R422" s="410"/>
      <c r="S422" s="410"/>
      <c r="T422" s="410"/>
      <c r="U422" s="410"/>
      <c r="CR422" s="3">
        <f>+CR421+0.001</f>
        <v>4501.201</v>
      </c>
      <c r="CS422" s="3">
        <f>+CS423</f>
        <v>390</v>
      </c>
      <c r="CT422" s="3">
        <f>+CT421+0.001</f>
        <v>74269.801000000007</v>
      </c>
      <c r="CU422" s="3">
        <f>+CU423</f>
        <v>390</v>
      </c>
    </row>
    <row r="423" spans="7:99" x14ac:dyDescent="0.15">
      <c r="G423" s="410"/>
      <c r="H423" s="410"/>
      <c r="I423" s="410"/>
      <c r="J423" s="410"/>
      <c r="K423" s="410"/>
      <c r="L423" s="410"/>
      <c r="M423" s="410"/>
      <c r="N423" s="410"/>
      <c r="O423" s="410"/>
      <c r="P423" s="410"/>
      <c r="Q423" s="410"/>
      <c r="R423" s="410"/>
      <c r="S423" s="410"/>
      <c r="T423" s="410"/>
      <c r="U423" s="410"/>
      <c r="CR423" s="63">
        <f>+CR329*0.8</f>
        <v>5875.2000000000007</v>
      </c>
      <c r="CS423" s="3">
        <f>+CS421+30</f>
        <v>390</v>
      </c>
      <c r="CT423" s="63">
        <f>+CT329*0.8</f>
        <v>105753.60000000001</v>
      </c>
      <c r="CU423" s="3">
        <f>+CU421+30</f>
        <v>390</v>
      </c>
    </row>
    <row r="424" spans="7:99" x14ac:dyDescent="0.15">
      <c r="G424" s="410"/>
      <c r="H424" s="410"/>
      <c r="I424" s="410"/>
      <c r="J424" s="410"/>
      <c r="K424" s="410"/>
      <c r="L424" s="410"/>
      <c r="M424" s="410"/>
      <c r="N424" s="410"/>
      <c r="O424" s="410"/>
      <c r="P424" s="410"/>
      <c r="Q424" s="410"/>
      <c r="R424" s="410"/>
      <c r="S424" s="410"/>
      <c r="T424" s="410"/>
      <c r="U424" s="410"/>
      <c r="CR424" s="3">
        <f>+CR423+0.001</f>
        <v>5875.2010000000009</v>
      </c>
      <c r="CS424" s="3">
        <f>+CS425</f>
        <v>420</v>
      </c>
      <c r="CT424" s="3">
        <f>+CT423+0.001</f>
        <v>105753.60100000001</v>
      </c>
      <c r="CU424" s="3">
        <f>+CU425</f>
        <v>420</v>
      </c>
    </row>
    <row r="425" spans="7:99" x14ac:dyDescent="0.15">
      <c r="G425" s="410"/>
      <c r="H425" s="410"/>
      <c r="I425" s="410"/>
      <c r="J425" s="410"/>
      <c r="K425" s="410"/>
      <c r="L425" s="410"/>
      <c r="M425" s="410"/>
      <c r="N425" s="410"/>
      <c r="O425" s="410"/>
      <c r="P425" s="410"/>
      <c r="Q425" s="410"/>
      <c r="R425" s="410"/>
      <c r="S425" s="410"/>
      <c r="T425" s="410"/>
      <c r="U425" s="410"/>
      <c r="CR425" s="63">
        <f>+CR331*0.8</f>
        <v>7503.6</v>
      </c>
      <c r="CS425" s="3">
        <f>+CS423+30</f>
        <v>420</v>
      </c>
      <c r="CT425" s="63">
        <f>+CT331*0.8</f>
        <v>146320.20000000001</v>
      </c>
      <c r="CU425" s="3">
        <f>+CU423+30</f>
        <v>420</v>
      </c>
    </row>
    <row r="426" spans="7:99" x14ac:dyDescent="0.15">
      <c r="G426" s="410"/>
      <c r="H426" s="410"/>
      <c r="I426" s="410"/>
      <c r="J426" s="410"/>
      <c r="K426" s="410"/>
      <c r="L426" s="410"/>
      <c r="M426" s="410"/>
      <c r="N426" s="410"/>
      <c r="O426" s="410"/>
      <c r="P426" s="410"/>
      <c r="Q426" s="410"/>
      <c r="R426" s="410"/>
      <c r="S426" s="410"/>
      <c r="T426" s="410"/>
      <c r="U426" s="410"/>
      <c r="CR426" s="3">
        <f>+CR425+0.001</f>
        <v>7503.6010000000006</v>
      </c>
      <c r="CS426" s="3">
        <f>+CS427</f>
        <v>450</v>
      </c>
      <c r="CT426" s="3">
        <f>+CT425+0.001</f>
        <v>146320.201</v>
      </c>
      <c r="CU426" s="3">
        <f>+CU427</f>
        <v>450</v>
      </c>
    </row>
    <row r="427" spans="7:99" x14ac:dyDescent="0.15">
      <c r="G427" s="410"/>
      <c r="H427" s="410"/>
      <c r="I427" s="410"/>
      <c r="J427" s="410"/>
      <c r="K427" s="410"/>
      <c r="L427" s="410"/>
      <c r="M427" s="410"/>
      <c r="N427" s="410"/>
      <c r="O427" s="410"/>
      <c r="P427" s="410"/>
      <c r="Q427" s="410"/>
      <c r="R427" s="410"/>
      <c r="S427" s="410"/>
      <c r="T427" s="410"/>
      <c r="U427" s="410"/>
      <c r="CR427" s="63">
        <f>+CR333*0.8</f>
        <v>9408</v>
      </c>
      <c r="CS427" s="3">
        <f>+CS425+30</f>
        <v>450</v>
      </c>
      <c r="CT427" s="63">
        <f>+CT333*0.8</f>
        <v>197568</v>
      </c>
      <c r="CU427" s="3">
        <f>+CU425+30</f>
        <v>450</v>
      </c>
    </row>
    <row r="428" spans="7:99" x14ac:dyDescent="0.15">
      <c r="G428" s="410"/>
      <c r="H428" s="410"/>
      <c r="I428" s="410"/>
      <c r="J428" s="410"/>
      <c r="K428" s="410"/>
      <c r="L428" s="410"/>
      <c r="M428" s="410"/>
      <c r="N428" s="410"/>
      <c r="O428" s="410"/>
      <c r="P428" s="410"/>
      <c r="Q428" s="410"/>
      <c r="R428" s="410"/>
      <c r="S428" s="410"/>
      <c r="T428" s="410"/>
      <c r="U428" s="410"/>
      <c r="CR428" s="3">
        <f>+CR427+0.001</f>
        <v>9408.0010000000002</v>
      </c>
      <c r="CS428" s="3">
        <f>+CS429</f>
        <v>480</v>
      </c>
      <c r="CT428" s="3">
        <f>+CT427+0.001</f>
        <v>197568.00099999999</v>
      </c>
      <c r="CU428" s="3">
        <f>+CU429</f>
        <v>480</v>
      </c>
    </row>
    <row r="429" spans="7:99" x14ac:dyDescent="0.15">
      <c r="G429" s="410"/>
      <c r="H429" s="410"/>
      <c r="I429" s="410"/>
      <c r="J429" s="410"/>
      <c r="K429" s="410"/>
      <c r="L429" s="410"/>
      <c r="M429" s="410"/>
      <c r="N429" s="410"/>
      <c r="O429" s="410"/>
      <c r="P429" s="410"/>
      <c r="Q429" s="410"/>
      <c r="R429" s="410"/>
      <c r="S429" s="410"/>
      <c r="T429" s="410"/>
      <c r="U429" s="410"/>
      <c r="CR429" s="63">
        <f>+CR335*0.8</f>
        <v>11610</v>
      </c>
      <c r="CS429" s="3">
        <f>+CS427+30</f>
        <v>480</v>
      </c>
      <c r="CT429" s="63">
        <f>+CT335*0.8</f>
        <v>261225</v>
      </c>
      <c r="CU429" s="3">
        <f>+CU427+30</f>
        <v>480</v>
      </c>
    </row>
    <row r="430" spans="7:99" x14ac:dyDescent="0.15">
      <c r="G430" s="410"/>
      <c r="H430" s="410"/>
      <c r="I430" s="410"/>
      <c r="J430" s="410"/>
      <c r="K430" s="410"/>
      <c r="L430" s="410"/>
      <c r="M430" s="410"/>
      <c r="N430" s="410"/>
      <c r="O430" s="410"/>
      <c r="P430" s="410"/>
      <c r="Q430" s="410"/>
      <c r="R430" s="410"/>
      <c r="S430" s="410"/>
      <c r="T430" s="410"/>
      <c r="U430" s="410"/>
      <c r="CR430" s="3">
        <f>+CR429+0.001</f>
        <v>11610.001</v>
      </c>
      <c r="CS430" s="3">
        <f>+CS431</f>
        <v>510</v>
      </c>
      <c r="CT430" s="3">
        <f>+CT429+0.001</f>
        <v>261225.00099999999</v>
      </c>
      <c r="CU430" s="3">
        <f>+CU431</f>
        <v>510</v>
      </c>
    </row>
    <row r="431" spans="7:99" x14ac:dyDescent="0.15">
      <c r="G431" s="410"/>
      <c r="H431" s="410"/>
      <c r="I431" s="410"/>
      <c r="J431" s="410"/>
      <c r="K431" s="410"/>
      <c r="L431" s="410"/>
      <c r="M431" s="410"/>
      <c r="N431" s="410"/>
      <c r="O431" s="410"/>
      <c r="P431" s="410"/>
      <c r="Q431" s="410"/>
      <c r="R431" s="410"/>
      <c r="S431" s="410"/>
      <c r="T431" s="410"/>
      <c r="U431" s="410"/>
      <c r="CR431" s="63">
        <f>+CR337*0.8</f>
        <v>14131.2</v>
      </c>
      <c r="CS431" s="3">
        <f>+CS429+30</f>
        <v>510</v>
      </c>
      <c r="CT431" s="63">
        <f>+CT337*0.8</f>
        <v>339148.80000000005</v>
      </c>
      <c r="CU431" s="3">
        <f>+CU429+30</f>
        <v>510</v>
      </c>
    </row>
    <row r="432" spans="7:99" x14ac:dyDescent="0.15">
      <c r="G432" s="410"/>
      <c r="H432" s="410"/>
      <c r="I432" s="410"/>
      <c r="J432" s="410"/>
      <c r="K432" s="410"/>
      <c r="L432" s="410"/>
      <c r="M432" s="410"/>
      <c r="N432" s="410"/>
      <c r="O432" s="410"/>
      <c r="P432" s="410"/>
      <c r="Q432" s="410"/>
      <c r="R432" s="410"/>
      <c r="S432" s="410"/>
      <c r="T432" s="410"/>
      <c r="U432" s="410"/>
      <c r="CR432" s="3">
        <f>+CR431+0.001</f>
        <v>14131.201000000001</v>
      </c>
      <c r="CS432" s="3">
        <f>+CS433</f>
        <v>540</v>
      </c>
      <c r="CT432" s="3">
        <f>+CT431+0.001</f>
        <v>339148.80100000004</v>
      </c>
      <c r="CU432" s="3">
        <f>+CU433</f>
        <v>540</v>
      </c>
    </row>
    <row r="433" spans="7:99" x14ac:dyDescent="0.15">
      <c r="G433" s="410"/>
      <c r="H433" s="410"/>
      <c r="I433" s="410"/>
      <c r="J433" s="410"/>
      <c r="K433" s="410"/>
      <c r="L433" s="410"/>
      <c r="M433" s="410"/>
      <c r="N433" s="410"/>
      <c r="O433" s="410"/>
      <c r="P433" s="410"/>
      <c r="Q433" s="410"/>
      <c r="R433" s="410"/>
      <c r="S433" s="410"/>
      <c r="T433" s="410"/>
      <c r="U433" s="410"/>
      <c r="CR433" s="63">
        <f>+CR339*0.8</f>
        <v>16993.2</v>
      </c>
      <c r="CS433" s="3">
        <f>+CS431+30</f>
        <v>540</v>
      </c>
      <c r="CT433" s="63">
        <f>+CT339*0.8</f>
        <v>433326.60000000003</v>
      </c>
      <c r="CU433" s="3">
        <f>+CU431+30</f>
        <v>540</v>
      </c>
    </row>
    <row r="434" spans="7:99" x14ac:dyDescent="0.15">
      <c r="G434" s="410"/>
      <c r="H434" s="410"/>
      <c r="I434" s="410"/>
      <c r="J434" s="410"/>
      <c r="K434" s="410"/>
      <c r="L434" s="410"/>
      <c r="M434" s="410"/>
      <c r="N434" s="410"/>
      <c r="O434" s="410"/>
      <c r="P434" s="410"/>
      <c r="Q434" s="410"/>
      <c r="R434" s="410"/>
      <c r="S434" s="410"/>
      <c r="T434" s="410"/>
      <c r="U434" s="410"/>
      <c r="CR434" s="3">
        <f>+CR433+0.001</f>
        <v>16993.201000000001</v>
      </c>
      <c r="CS434" s="3">
        <f>+CS435</f>
        <v>570</v>
      </c>
      <c r="CT434" s="3">
        <f>+CT433+0.001</f>
        <v>433326.60100000002</v>
      </c>
      <c r="CU434" s="3">
        <f>+CU435</f>
        <v>570</v>
      </c>
    </row>
    <row r="435" spans="7:99" x14ac:dyDescent="0.15">
      <c r="G435" s="410"/>
      <c r="H435" s="410"/>
      <c r="I435" s="410"/>
      <c r="J435" s="410"/>
      <c r="K435" s="410"/>
      <c r="L435" s="410"/>
      <c r="M435" s="410"/>
      <c r="N435" s="410"/>
      <c r="O435" s="410"/>
      <c r="P435" s="410"/>
      <c r="Q435" s="410"/>
      <c r="R435" s="410"/>
      <c r="S435" s="410"/>
      <c r="T435" s="410"/>
      <c r="U435" s="410"/>
      <c r="CR435" s="63">
        <f>+CR341*0.8</f>
        <v>20217.600000000002</v>
      </c>
      <c r="CS435" s="3">
        <f>+CS433+30</f>
        <v>570</v>
      </c>
      <c r="CT435" s="63">
        <f>+CT341*0.8</f>
        <v>545875.20000000007</v>
      </c>
      <c r="CU435" s="3">
        <f>+CU433+30</f>
        <v>570</v>
      </c>
    </row>
    <row r="436" spans="7:99" x14ac:dyDescent="0.15">
      <c r="G436" s="410"/>
      <c r="H436" s="410"/>
      <c r="I436" s="410"/>
      <c r="J436" s="410"/>
      <c r="K436" s="410"/>
      <c r="L436" s="410"/>
      <c r="M436" s="410"/>
      <c r="N436" s="410"/>
      <c r="O436" s="410"/>
      <c r="P436" s="410"/>
      <c r="Q436" s="410"/>
      <c r="R436" s="410"/>
      <c r="S436" s="410"/>
      <c r="T436" s="410"/>
      <c r="U436" s="410"/>
      <c r="CR436" s="3">
        <f>+CR435+0.001</f>
        <v>20217.601000000002</v>
      </c>
      <c r="CS436" s="3">
        <f>+CS437</f>
        <v>600</v>
      </c>
      <c r="CT436" s="3">
        <f>+CT435+0.001</f>
        <v>545875.20100000012</v>
      </c>
      <c r="CU436" s="3">
        <f>+CU437</f>
        <v>600</v>
      </c>
    </row>
    <row r="437" spans="7:99" x14ac:dyDescent="0.15">
      <c r="G437" s="410"/>
      <c r="H437" s="410"/>
      <c r="I437" s="410"/>
      <c r="J437" s="410"/>
      <c r="K437" s="410"/>
      <c r="L437" s="410"/>
      <c r="M437" s="410"/>
      <c r="N437" s="410"/>
      <c r="O437" s="410"/>
      <c r="P437" s="410"/>
      <c r="Q437" s="410"/>
      <c r="R437" s="410"/>
      <c r="S437" s="410"/>
      <c r="T437" s="410"/>
      <c r="U437" s="410"/>
      <c r="CR437" s="63">
        <f>+CR343*0.8</f>
        <v>23826</v>
      </c>
      <c r="CS437" s="3">
        <f>+CS435+30</f>
        <v>600</v>
      </c>
      <c r="CT437" s="63">
        <f>+CT343*0.8</f>
        <v>679041</v>
      </c>
      <c r="CU437" s="3">
        <f>+CU435+30</f>
        <v>600</v>
      </c>
    </row>
    <row r="438" spans="7:99" x14ac:dyDescent="0.15">
      <c r="G438" s="410"/>
      <c r="H438" s="410"/>
      <c r="I438" s="410"/>
      <c r="J438" s="410"/>
      <c r="K438" s="410"/>
      <c r="L438" s="410"/>
      <c r="M438" s="410"/>
      <c r="N438" s="410"/>
      <c r="O438" s="410"/>
      <c r="P438" s="410"/>
      <c r="Q438" s="410"/>
      <c r="R438" s="410"/>
      <c r="S438" s="410"/>
      <c r="T438" s="410"/>
      <c r="U438" s="410"/>
      <c r="CR438" s="3">
        <f>+CR437+0.001</f>
        <v>23826.001</v>
      </c>
      <c r="CS438" s="3">
        <f>+CS439</f>
        <v>630</v>
      </c>
      <c r="CT438" s="3">
        <f>+CT437+0.001</f>
        <v>679041.00100000005</v>
      </c>
      <c r="CU438" s="3">
        <f>+CU439</f>
        <v>630</v>
      </c>
    </row>
    <row r="439" spans="7:99" x14ac:dyDescent="0.15">
      <c r="G439" s="410"/>
      <c r="H439" s="410"/>
      <c r="I439" s="410"/>
      <c r="J439" s="410"/>
      <c r="K439" s="410"/>
      <c r="L439" s="410"/>
      <c r="M439" s="410"/>
      <c r="N439" s="410"/>
      <c r="O439" s="410"/>
      <c r="P439" s="410"/>
      <c r="Q439" s="410"/>
      <c r="R439" s="410"/>
      <c r="S439" s="410"/>
      <c r="T439" s="410"/>
      <c r="U439" s="410"/>
      <c r="CR439" s="63">
        <f>+CR345*0.8</f>
        <v>27840</v>
      </c>
      <c r="CS439" s="3">
        <f>+CS437+30</f>
        <v>630</v>
      </c>
      <c r="CT439" s="63">
        <f>+CT345*0.8</f>
        <v>835200</v>
      </c>
      <c r="CU439" s="3">
        <f>+CU437+30</f>
        <v>630</v>
      </c>
    </row>
    <row r="440" spans="7:99" x14ac:dyDescent="0.15">
      <c r="G440" s="410"/>
      <c r="H440" s="410"/>
      <c r="I440" s="410"/>
      <c r="J440" s="410"/>
      <c r="K440" s="410"/>
      <c r="L440" s="410"/>
      <c r="M440" s="410"/>
      <c r="N440" s="410"/>
      <c r="O440" s="410"/>
      <c r="P440" s="410"/>
      <c r="Q440" s="410"/>
      <c r="R440" s="410"/>
      <c r="S440" s="410"/>
      <c r="T440" s="410"/>
      <c r="U440" s="410"/>
      <c r="CR440" s="3">
        <f>+CR439+0.001</f>
        <v>27840.001</v>
      </c>
      <c r="CS440" s="3">
        <v>0</v>
      </c>
      <c r="CT440" s="3">
        <f>+CT439+0.001</f>
        <v>835200.00100000005</v>
      </c>
      <c r="CU440" s="3">
        <v>0</v>
      </c>
    </row>
    <row r="441" spans="7:99" x14ac:dyDescent="0.15">
      <c r="G441" s="410"/>
      <c r="H441" s="410"/>
      <c r="I441" s="410"/>
      <c r="J441" s="410"/>
      <c r="K441" s="410"/>
      <c r="L441" s="410"/>
      <c r="M441" s="410"/>
      <c r="N441" s="410"/>
      <c r="O441" s="410"/>
      <c r="P441" s="410"/>
      <c r="Q441" s="410"/>
      <c r="R441" s="410"/>
      <c r="S441" s="410"/>
      <c r="T441" s="410"/>
      <c r="U441" s="410"/>
    </row>
    <row r="442" spans="7:99" x14ac:dyDescent="0.15">
      <c r="G442" s="410"/>
      <c r="H442" s="410"/>
      <c r="I442" s="410"/>
      <c r="J442" s="410"/>
      <c r="K442" s="410"/>
      <c r="L442" s="410"/>
      <c r="M442" s="410"/>
      <c r="N442" s="410"/>
      <c r="O442" s="410"/>
      <c r="P442" s="410"/>
      <c r="Q442" s="410"/>
      <c r="R442" s="410"/>
      <c r="S442" s="410"/>
      <c r="T442" s="410"/>
      <c r="U442" s="410"/>
    </row>
    <row r="443" spans="7:99" x14ac:dyDescent="0.15">
      <c r="G443" s="410"/>
      <c r="H443" s="410"/>
      <c r="I443" s="410"/>
      <c r="J443" s="410"/>
      <c r="K443" s="410"/>
      <c r="L443" s="410"/>
      <c r="M443" s="410"/>
      <c r="N443" s="410"/>
      <c r="O443" s="410"/>
      <c r="P443" s="410"/>
      <c r="Q443" s="410"/>
      <c r="R443" s="410"/>
      <c r="S443" s="410"/>
      <c r="T443" s="410"/>
      <c r="U443" s="410"/>
    </row>
    <row r="444" spans="7:99" x14ac:dyDescent="0.15">
      <c r="G444" s="410"/>
      <c r="H444" s="410"/>
      <c r="I444" s="410"/>
      <c r="J444" s="410"/>
      <c r="K444" s="410"/>
      <c r="L444" s="410"/>
      <c r="M444" s="410"/>
      <c r="N444" s="410"/>
      <c r="O444" s="410"/>
      <c r="P444" s="410"/>
      <c r="Q444" s="410"/>
      <c r="R444" s="410"/>
      <c r="S444" s="410"/>
      <c r="T444" s="410"/>
      <c r="U444" s="410"/>
    </row>
    <row r="445" spans="7:99" x14ac:dyDescent="0.15">
      <c r="G445" s="410"/>
      <c r="H445" s="410"/>
      <c r="I445" s="410"/>
      <c r="J445" s="410"/>
      <c r="K445" s="410"/>
      <c r="L445" s="410"/>
      <c r="M445" s="410"/>
      <c r="N445" s="410"/>
      <c r="O445" s="410"/>
      <c r="P445" s="410"/>
      <c r="Q445" s="410"/>
      <c r="R445" s="410"/>
      <c r="S445" s="410"/>
      <c r="T445" s="410"/>
      <c r="U445" s="410"/>
    </row>
    <row r="446" spans="7:99" x14ac:dyDescent="0.15">
      <c r="G446" s="410"/>
      <c r="H446" s="410"/>
      <c r="I446" s="410"/>
      <c r="J446" s="410"/>
      <c r="K446" s="410"/>
      <c r="L446" s="410"/>
      <c r="M446" s="410"/>
      <c r="N446" s="410"/>
      <c r="O446" s="410"/>
      <c r="P446" s="410"/>
      <c r="Q446" s="410"/>
      <c r="R446" s="410"/>
      <c r="S446" s="410"/>
      <c r="T446" s="410"/>
      <c r="U446" s="410"/>
    </row>
    <row r="447" spans="7:99" x14ac:dyDescent="0.15">
      <c r="G447" s="410"/>
      <c r="H447" s="410"/>
      <c r="I447" s="410"/>
      <c r="J447" s="410"/>
      <c r="K447" s="410"/>
      <c r="L447" s="410"/>
      <c r="M447" s="410"/>
      <c r="N447" s="410"/>
      <c r="O447" s="410"/>
      <c r="P447" s="410"/>
      <c r="Q447" s="410"/>
      <c r="R447" s="410"/>
      <c r="S447" s="410"/>
      <c r="T447" s="410"/>
      <c r="U447" s="410"/>
    </row>
    <row r="448" spans="7:99" x14ac:dyDescent="0.15">
      <c r="G448" s="410"/>
      <c r="H448" s="410"/>
      <c r="I448" s="410"/>
      <c r="J448" s="410"/>
      <c r="K448" s="410"/>
      <c r="L448" s="410"/>
      <c r="M448" s="410"/>
      <c r="N448" s="410"/>
      <c r="O448" s="410"/>
      <c r="P448" s="410"/>
      <c r="Q448" s="410"/>
      <c r="R448" s="410"/>
      <c r="S448" s="410"/>
      <c r="T448" s="410"/>
      <c r="U448" s="410"/>
    </row>
    <row r="449" spans="7:21" x14ac:dyDescent="0.15">
      <c r="G449" s="410"/>
      <c r="H449" s="410"/>
      <c r="I449" s="410"/>
      <c r="J449" s="410"/>
      <c r="K449" s="410"/>
      <c r="L449" s="410"/>
      <c r="M449" s="410"/>
      <c r="N449" s="410"/>
      <c r="O449" s="410"/>
      <c r="P449" s="410"/>
      <c r="Q449" s="410"/>
      <c r="R449" s="410"/>
      <c r="S449" s="410"/>
      <c r="T449" s="410"/>
      <c r="U449" s="410"/>
    </row>
    <row r="450" spans="7:21" x14ac:dyDescent="0.15">
      <c r="G450" s="410"/>
      <c r="H450" s="410"/>
      <c r="I450" s="410"/>
      <c r="J450" s="410"/>
      <c r="K450" s="410"/>
      <c r="L450" s="410"/>
      <c r="M450" s="410"/>
      <c r="N450" s="410"/>
      <c r="O450" s="410"/>
      <c r="P450" s="410"/>
      <c r="Q450" s="410"/>
      <c r="R450" s="410"/>
      <c r="S450" s="410"/>
      <c r="T450" s="410"/>
      <c r="U450" s="410"/>
    </row>
    <row r="451" spans="7:21" x14ac:dyDescent="0.15">
      <c r="G451" s="410"/>
      <c r="H451" s="410"/>
      <c r="I451" s="410"/>
      <c r="J451" s="410"/>
      <c r="K451" s="410"/>
      <c r="L451" s="410"/>
      <c r="M451" s="410"/>
      <c r="N451" s="410"/>
      <c r="O451" s="410"/>
      <c r="P451" s="410"/>
      <c r="Q451" s="410"/>
      <c r="R451" s="410"/>
      <c r="S451" s="410"/>
      <c r="T451" s="410"/>
      <c r="U451" s="410"/>
    </row>
    <row r="452" spans="7:21" x14ac:dyDescent="0.15">
      <c r="G452" s="410"/>
      <c r="H452" s="410"/>
      <c r="I452" s="410"/>
      <c r="J452" s="410"/>
      <c r="K452" s="410"/>
      <c r="L452" s="410"/>
      <c r="M452" s="410"/>
      <c r="N452" s="410"/>
      <c r="O452" s="410"/>
      <c r="P452" s="410"/>
      <c r="Q452" s="410"/>
      <c r="R452" s="410"/>
      <c r="S452" s="410"/>
      <c r="T452" s="410"/>
      <c r="U452" s="410"/>
    </row>
    <row r="453" spans="7:21" x14ac:dyDescent="0.15">
      <c r="G453" s="410"/>
      <c r="H453" s="410"/>
      <c r="I453" s="410"/>
      <c r="J453" s="410"/>
      <c r="K453" s="410"/>
      <c r="L453" s="410"/>
      <c r="M453" s="410"/>
      <c r="N453" s="410"/>
      <c r="O453" s="410"/>
      <c r="P453" s="410"/>
      <c r="Q453" s="410"/>
      <c r="R453" s="410"/>
      <c r="S453" s="410"/>
      <c r="T453" s="410"/>
      <c r="U453" s="410"/>
    </row>
    <row r="454" spans="7:21" x14ac:dyDescent="0.15">
      <c r="G454" s="410"/>
      <c r="H454" s="410"/>
      <c r="I454" s="410"/>
      <c r="J454" s="410"/>
      <c r="K454" s="410"/>
      <c r="L454" s="410"/>
      <c r="M454" s="410"/>
      <c r="N454" s="410"/>
      <c r="O454" s="410"/>
      <c r="P454" s="410"/>
      <c r="Q454" s="410"/>
      <c r="R454" s="410"/>
      <c r="S454" s="410"/>
      <c r="T454" s="410"/>
      <c r="U454" s="410"/>
    </row>
    <row r="455" spans="7:21" x14ac:dyDescent="0.15">
      <c r="G455" s="410"/>
      <c r="H455" s="410"/>
      <c r="I455" s="410"/>
      <c r="J455" s="410"/>
      <c r="K455" s="410"/>
      <c r="L455" s="410"/>
      <c r="M455" s="410"/>
      <c r="N455" s="410"/>
      <c r="O455" s="410"/>
      <c r="P455" s="410"/>
      <c r="Q455" s="410"/>
      <c r="R455" s="410"/>
      <c r="S455" s="410"/>
      <c r="T455" s="410"/>
      <c r="U455" s="410"/>
    </row>
    <row r="456" spans="7:21" x14ac:dyDescent="0.15">
      <c r="G456" s="410"/>
      <c r="H456" s="410"/>
      <c r="I456" s="410"/>
      <c r="J456" s="410"/>
      <c r="K456" s="410"/>
      <c r="L456" s="410"/>
      <c r="M456" s="410"/>
      <c r="N456" s="410"/>
      <c r="O456" s="410"/>
      <c r="P456" s="410"/>
      <c r="Q456" s="410"/>
      <c r="R456" s="410"/>
      <c r="S456" s="410"/>
      <c r="T456" s="410"/>
      <c r="U456" s="410"/>
    </row>
    <row r="457" spans="7:21" x14ac:dyDescent="0.15">
      <c r="G457" s="410"/>
      <c r="H457" s="410"/>
      <c r="I457" s="410"/>
      <c r="J457" s="410"/>
      <c r="K457" s="410"/>
      <c r="L457" s="410"/>
      <c r="M457" s="410"/>
      <c r="N457" s="410"/>
      <c r="O457" s="410"/>
      <c r="P457" s="410"/>
      <c r="Q457" s="410"/>
      <c r="R457" s="410"/>
      <c r="S457" s="410"/>
      <c r="T457" s="410"/>
      <c r="U457" s="410"/>
    </row>
    <row r="458" spans="7:21" x14ac:dyDescent="0.15">
      <c r="G458" s="410"/>
      <c r="H458" s="410"/>
      <c r="I458" s="410"/>
      <c r="J458" s="410"/>
      <c r="K458" s="410"/>
      <c r="L458" s="410"/>
      <c r="M458" s="410"/>
      <c r="N458" s="410"/>
      <c r="O458" s="410"/>
      <c r="P458" s="410"/>
      <c r="Q458" s="410"/>
      <c r="R458" s="410"/>
      <c r="S458" s="410"/>
      <c r="T458" s="410"/>
      <c r="U458" s="410"/>
    </row>
    <row r="459" spans="7:21" x14ac:dyDescent="0.15">
      <c r="G459" s="410"/>
      <c r="H459" s="410"/>
      <c r="I459" s="410"/>
      <c r="J459" s="410"/>
      <c r="K459" s="410"/>
      <c r="L459" s="410"/>
      <c r="M459" s="410"/>
      <c r="N459" s="410"/>
      <c r="O459" s="410"/>
      <c r="P459" s="410"/>
      <c r="Q459" s="410"/>
      <c r="R459" s="410"/>
      <c r="S459" s="410"/>
      <c r="T459" s="410"/>
      <c r="U459" s="410"/>
    </row>
    <row r="460" spans="7:21" x14ac:dyDescent="0.15">
      <c r="G460" s="410"/>
      <c r="H460" s="410"/>
      <c r="I460" s="410"/>
      <c r="J460" s="410"/>
      <c r="K460" s="410"/>
      <c r="L460" s="410"/>
      <c r="M460" s="410"/>
      <c r="N460" s="410"/>
      <c r="O460" s="410"/>
      <c r="P460" s="410"/>
      <c r="Q460" s="410"/>
      <c r="R460" s="410"/>
      <c r="S460" s="410"/>
      <c r="T460" s="410"/>
      <c r="U460" s="410"/>
    </row>
    <row r="461" spans="7:21" x14ac:dyDescent="0.15">
      <c r="G461" s="410"/>
      <c r="H461" s="410"/>
      <c r="I461" s="410"/>
      <c r="J461" s="410"/>
      <c r="K461" s="410"/>
      <c r="L461" s="410"/>
      <c r="M461" s="410"/>
      <c r="N461" s="410"/>
      <c r="O461" s="410"/>
      <c r="P461" s="410"/>
      <c r="Q461" s="410"/>
      <c r="R461" s="410"/>
      <c r="S461" s="410"/>
      <c r="T461" s="410"/>
      <c r="U461" s="410"/>
    </row>
    <row r="462" spans="7:21" x14ac:dyDescent="0.15">
      <c r="G462" s="410"/>
      <c r="H462" s="410"/>
      <c r="I462" s="410"/>
      <c r="J462" s="410"/>
      <c r="K462" s="410"/>
      <c r="L462" s="410"/>
      <c r="M462" s="410"/>
      <c r="N462" s="410"/>
      <c r="O462" s="410"/>
      <c r="P462" s="410"/>
      <c r="Q462" s="410"/>
      <c r="R462" s="410"/>
      <c r="S462" s="410"/>
      <c r="T462" s="410"/>
      <c r="U462" s="410"/>
    </row>
    <row r="463" spans="7:21" x14ac:dyDescent="0.15">
      <c r="G463" s="410"/>
      <c r="H463" s="410"/>
      <c r="I463" s="410"/>
      <c r="J463" s="410"/>
      <c r="K463" s="410"/>
      <c r="L463" s="410"/>
      <c r="M463" s="410"/>
      <c r="N463" s="410"/>
      <c r="O463" s="410"/>
      <c r="P463" s="410"/>
      <c r="Q463" s="410"/>
      <c r="R463" s="410"/>
      <c r="S463" s="410"/>
      <c r="T463" s="410"/>
      <c r="U463" s="410"/>
    </row>
    <row r="464" spans="7:21" x14ac:dyDescent="0.15">
      <c r="G464" s="410"/>
      <c r="H464" s="410"/>
      <c r="I464" s="410"/>
      <c r="J464" s="410"/>
      <c r="K464" s="410"/>
      <c r="L464" s="410"/>
      <c r="M464" s="410"/>
      <c r="N464" s="410"/>
      <c r="O464" s="410"/>
      <c r="P464" s="410"/>
      <c r="Q464" s="410"/>
      <c r="R464" s="410"/>
      <c r="S464" s="410"/>
      <c r="T464" s="410"/>
      <c r="U464" s="410"/>
    </row>
    <row r="465" spans="7:21" x14ac:dyDescent="0.15">
      <c r="G465" s="410"/>
      <c r="H465" s="410"/>
      <c r="I465" s="410"/>
      <c r="J465" s="410"/>
      <c r="K465" s="410"/>
      <c r="L465" s="410"/>
      <c r="M465" s="410"/>
      <c r="N465" s="410"/>
      <c r="O465" s="410"/>
      <c r="P465" s="410"/>
      <c r="Q465" s="410"/>
      <c r="R465" s="410"/>
      <c r="S465" s="410"/>
      <c r="T465" s="410"/>
      <c r="U465" s="410"/>
    </row>
    <row r="466" spans="7:21" x14ac:dyDescent="0.15">
      <c r="G466" s="410"/>
      <c r="H466" s="410"/>
      <c r="I466" s="410"/>
      <c r="J466" s="410"/>
      <c r="K466" s="410"/>
      <c r="L466" s="410"/>
      <c r="M466" s="410"/>
      <c r="N466" s="410"/>
      <c r="O466" s="410"/>
      <c r="P466" s="410"/>
      <c r="Q466" s="410"/>
      <c r="R466" s="410"/>
      <c r="S466" s="410"/>
      <c r="T466" s="410"/>
      <c r="U466" s="410"/>
    </row>
    <row r="467" spans="7:21" x14ac:dyDescent="0.15">
      <c r="G467" s="410"/>
      <c r="H467" s="410"/>
      <c r="I467" s="410"/>
      <c r="J467" s="410"/>
      <c r="K467" s="410"/>
      <c r="L467" s="410"/>
      <c r="M467" s="410"/>
      <c r="N467" s="410"/>
      <c r="O467" s="410"/>
      <c r="P467" s="410"/>
      <c r="Q467" s="410"/>
      <c r="R467" s="410"/>
      <c r="S467" s="410"/>
      <c r="T467" s="410"/>
      <c r="U467" s="410"/>
    </row>
    <row r="468" spans="7:21" x14ac:dyDescent="0.15">
      <c r="G468" s="410"/>
      <c r="H468" s="410"/>
      <c r="I468" s="410"/>
      <c r="J468" s="410"/>
      <c r="K468" s="410"/>
      <c r="L468" s="410"/>
      <c r="M468" s="410"/>
      <c r="N468" s="410"/>
      <c r="O468" s="410"/>
      <c r="P468" s="410"/>
      <c r="Q468" s="410"/>
      <c r="R468" s="410"/>
      <c r="S468" s="410"/>
      <c r="T468" s="410"/>
      <c r="U468" s="410"/>
    </row>
    <row r="469" spans="7:21" x14ac:dyDescent="0.15">
      <c r="G469" s="410"/>
      <c r="H469" s="410"/>
      <c r="I469" s="410"/>
      <c r="J469" s="410"/>
      <c r="K469" s="410"/>
      <c r="L469" s="410"/>
      <c r="M469" s="410"/>
      <c r="N469" s="410"/>
      <c r="O469" s="410"/>
      <c r="P469" s="410"/>
      <c r="Q469" s="410"/>
      <c r="R469" s="410"/>
      <c r="S469" s="410"/>
      <c r="T469" s="410"/>
      <c r="U469" s="410"/>
    </row>
    <row r="470" spans="7:21" x14ac:dyDescent="0.15">
      <c r="G470" s="410"/>
      <c r="H470" s="410"/>
      <c r="I470" s="410"/>
      <c r="J470" s="410"/>
      <c r="K470" s="410"/>
      <c r="L470" s="410"/>
      <c r="M470" s="410"/>
      <c r="N470" s="410"/>
      <c r="O470" s="410"/>
      <c r="P470" s="410"/>
      <c r="Q470" s="410"/>
      <c r="R470" s="410"/>
      <c r="S470" s="410"/>
      <c r="T470" s="410"/>
      <c r="U470" s="410"/>
    </row>
    <row r="471" spans="7:21" x14ac:dyDescent="0.15">
      <c r="G471" s="410"/>
      <c r="H471" s="410"/>
      <c r="I471" s="410"/>
      <c r="J471" s="410"/>
      <c r="K471" s="410"/>
      <c r="L471" s="410"/>
      <c r="M471" s="410"/>
      <c r="N471" s="410"/>
      <c r="O471" s="410"/>
      <c r="P471" s="410"/>
      <c r="Q471" s="410"/>
      <c r="R471" s="410"/>
      <c r="S471" s="410"/>
      <c r="T471" s="410"/>
      <c r="U471" s="410"/>
    </row>
    <row r="472" spans="7:21" x14ac:dyDescent="0.15">
      <c r="G472" s="410"/>
      <c r="H472" s="410"/>
      <c r="I472" s="410"/>
      <c r="J472" s="410"/>
      <c r="K472" s="410"/>
      <c r="L472" s="410"/>
      <c r="M472" s="410"/>
      <c r="N472" s="410"/>
      <c r="O472" s="410"/>
      <c r="P472" s="410"/>
      <c r="Q472" s="410"/>
      <c r="R472" s="410"/>
      <c r="S472" s="410"/>
      <c r="T472" s="410"/>
      <c r="U472" s="410"/>
    </row>
    <row r="473" spans="7:21" x14ac:dyDescent="0.15">
      <c r="G473" s="410"/>
      <c r="H473" s="410"/>
      <c r="I473" s="410"/>
      <c r="J473" s="410"/>
      <c r="K473" s="410"/>
      <c r="L473" s="410"/>
      <c r="M473" s="410"/>
      <c r="N473" s="410"/>
      <c r="O473" s="410"/>
      <c r="P473" s="410"/>
      <c r="Q473" s="410"/>
      <c r="R473" s="410"/>
      <c r="S473" s="410"/>
      <c r="T473" s="410"/>
      <c r="U473" s="410"/>
    </row>
    <row r="474" spans="7:21" x14ac:dyDescent="0.15">
      <c r="G474" s="410"/>
      <c r="H474" s="410"/>
      <c r="I474" s="410"/>
      <c r="J474" s="410"/>
      <c r="K474" s="410"/>
      <c r="L474" s="410"/>
      <c r="M474" s="410"/>
      <c r="N474" s="410"/>
      <c r="O474" s="410"/>
      <c r="P474" s="410"/>
      <c r="Q474" s="410"/>
      <c r="R474" s="410"/>
      <c r="S474" s="410"/>
      <c r="T474" s="410"/>
      <c r="U474" s="410"/>
    </row>
    <row r="475" spans="7:21" x14ac:dyDescent="0.15">
      <c r="G475" s="410"/>
      <c r="H475" s="410"/>
      <c r="I475" s="410"/>
      <c r="J475" s="410"/>
      <c r="K475" s="410"/>
      <c r="L475" s="410"/>
      <c r="M475" s="410"/>
      <c r="N475" s="410"/>
      <c r="O475" s="410"/>
      <c r="P475" s="410"/>
      <c r="Q475" s="410"/>
      <c r="R475" s="410"/>
      <c r="S475" s="410"/>
      <c r="T475" s="410"/>
      <c r="U475" s="410"/>
    </row>
    <row r="476" spans="7:21" x14ac:dyDescent="0.15">
      <c r="G476" s="410"/>
      <c r="H476" s="410"/>
      <c r="I476" s="410"/>
      <c r="J476" s="410"/>
      <c r="K476" s="410"/>
      <c r="L476" s="410"/>
      <c r="M476" s="410"/>
      <c r="N476" s="410"/>
      <c r="O476" s="410"/>
      <c r="P476" s="410"/>
      <c r="Q476" s="410"/>
      <c r="R476" s="410"/>
      <c r="S476" s="410"/>
      <c r="T476" s="410"/>
      <c r="U476" s="410"/>
    </row>
    <row r="477" spans="7:21" x14ac:dyDescent="0.15">
      <c r="G477" s="410"/>
      <c r="H477" s="410"/>
      <c r="I477" s="410"/>
      <c r="J477" s="410"/>
      <c r="K477" s="410"/>
      <c r="L477" s="410"/>
      <c r="M477" s="410"/>
      <c r="N477" s="410"/>
      <c r="O477" s="410"/>
      <c r="P477" s="410"/>
      <c r="Q477" s="410"/>
      <c r="R477" s="410"/>
      <c r="S477" s="410"/>
      <c r="T477" s="410"/>
      <c r="U477" s="410"/>
    </row>
    <row r="478" spans="7:21" x14ac:dyDescent="0.15">
      <c r="G478" s="410"/>
      <c r="H478" s="410"/>
      <c r="I478" s="410"/>
      <c r="J478" s="410"/>
      <c r="K478" s="410"/>
      <c r="L478" s="410"/>
      <c r="M478" s="410"/>
      <c r="N478" s="410"/>
      <c r="O478" s="410"/>
      <c r="P478" s="410"/>
      <c r="Q478" s="410"/>
      <c r="R478" s="410"/>
      <c r="S478" s="410"/>
      <c r="T478" s="410"/>
      <c r="U478" s="410"/>
    </row>
    <row r="479" spans="7:21" x14ac:dyDescent="0.15">
      <c r="G479" s="410"/>
      <c r="H479" s="410"/>
      <c r="I479" s="410"/>
      <c r="J479" s="410"/>
      <c r="K479" s="410"/>
      <c r="L479" s="410"/>
      <c r="M479" s="410"/>
      <c r="N479" s="410"/>
      <c r="O479" s="410"/>
      <c r="P479" s="410"/>
      <c r="Q479" s="410"/>
      <c r="R479" s="410"/>
      <c r="S479" s="410"/>
      <c r="T479" s="410"/>
      <c r="U479" s="410"/>
    </row>
    <row r="480" spans="7:21" x14ac:dyDescent="0.15">
      <c r="G480" s="410"/>
      <c r="H480" s="410"/>
      <c r="I480" s="410"/>
      <c r="J480" s="410"/>
      <c r="K480" s="410"/>
      <c r="L480" s="410"/>
      <c r="M480" s="410"/>
      <c r="N480" s="410"/>
      <c r="O480" s="410"/>
      <c r="P480" s="410"/>
      <c r="Q480" s="410"/>
      <c r="R480" s="410"/>
      <c r="S480" s="410"/>
      <c r="T480" s="410"/>
      <c r="U480" s="410"/>
    </row>
    <row r="481" spans="7:21" x14ac:dyDescent="0.15">
      <c r="G481" s="410"/>
      <c r="H481" s="410"/>
      <c r="I481" s="410"/>
      <c r="J481" s="410"/>
      <c r="K481" s="410"/>
      <c r="L481" s="410"/>
      <c r="M481" s="410"/>
      <c r="N481" s="410"/>
      <c r="O481" s="410"/>
      <c r="P481" s="410"/>
      <c r="Q481" s="410"/>
      <c r="R481" s="410"/>
      <c r="S481" s="410"/>
      <c r="T481" s="410"/>
      <c r="U481" s="410"/>
    </row>
    <row r="482" spans="7:21" x14ac:dyDescent="0.15">
      <c r="G482" s="410"/>
      <c r="H482" s="410"/>
      <c r="I482" s="410"/>
      <c r="J482" s="410"/>
      <c r="K482" s="410"/>
      <c r="L482" s="410"/>
      <c r="M482" s="410"/>
      <c r="N482" s="410"/>
      <c r="O482" s="410"/>
      <c r="P482" s="410"/>
      <c r="Q482" s="410"/>
      <c r="R482" s="410"/>
      <c r="S482" s="410"/>
      <c r="T482" s="410"/>
      <c r="U482" s="410"/>
    </row>
    <row r="483" spans="7:21" x14ac:dyDescent="0.15">
      <c r="G483" s="410"/>
      <c r="H483" s="410"/>
      <c r="I483" s="410"/>
      <c r="J483" s="410"/>
      <c r="K483" s="410"/>
      <c r="L483" s="410"/>
      <c r="M483" s="410"/>
      <c r="N483" s="410"/>
      <c r="O483" s="410"/>
      <c r="P483" s="410"/>
      <c r="Q483" s="410"/>
      <c r="R483" s="410"/>
      <c r="S483" s="410"/>
      <c r="T483" s="410"/>
      <c r="U483" s="410"/>
    </row>
    <row r="484" spans="7:21" x14ac:dyDescent="0.15">
      <c r="G484" s="410"/>
      <c r="H484" s="410"/>
      <c r="I484" s="410"/>
      <c r="J484" s="410"/>
      <c r="K484" s="410"/>
      <c r="L484" s="410"/>
      <c r="M484" s="410"/>
      <c r="N484" s="410"/>
      <c r="O484" s="410"/>
      <c r="P484" s="410"/>
      <c r="Q484" s="410"/>
      <c r="R484" s="410"/>
      <c r="S484" s="410"/>
      <c r="T484" s="410"/>
      <c r="U484" s="410"/>
    </row>
    <row r="485" spans="7:21" x14ac:dyDescent="0.15">
      <c r="G485" s="410"/>
      <c r="H485" s="410"/>
      <c r="I485" s="410"/>
      <c r="J485" s="410"/>
      <c r="K485" s="410"/>
      <c r="L485" s="410"/>
      <c r="M485" s="410"/>
      <c r="N485" s="410"/>
      <c r="O485" s="410"/>
      <c r="P485" s="410"/>
      <c r="Q485" s="410"/>
      <c r="R485" s="410"/>
      <c r="S485" s="410"/>
      <c r="T485" s="410"/>
      <c r="U485" s="410"/>
    </row>
    <row r="486" spans="7:21" x14ac:dyDescent="0.15">
      <c r="G486" s="410"/>
      <c r="H486" s="410"/>
      <c r="I486" s="410"/>
      <c r="J486" s="410"/>
      <c r="K486" s="410"/>
      <c r="L486" s="410"/>
      <c r="M486" s="410"/>
      <c r="N486" s="410"/>
      <c r="O486" s="410"/>
      <c r="P486" s="410"/>
      <c r="Q486" s="410"/>
      <c r="R486" s="410"/>
      <c r="S486" s="410"/>
      <c r="T486" s="410"/>
      <c r="U486" s="410"/>
    </row>
    <row r="487" spans="7:21" x14ac:dyDescent="0.15">
      <c r="G487" s="410"/>
      <c r="H487" s="410"/>
      <c r="I487" s="410"/>
      <c r="J487" s="410"/>
      <c r="K487" s="410"/>
      <c r="L487" s="410"/>
      <c r="M487" s="410"/>
      <c r="N487" s="410"/>
      <c r="O487" s="410"/>
      <c r="P487" s="410"/>
      <c r="Q487" s="410"/>
      <c r="R487" s="410"/>
      <c r="S487" s="410"/>
      <c r="T487" s="410"/>
      <c r="U487" s="410"/>
    </row>
    <row r="488" spans="7:21" x14ac:dyDescent="0.15">
      <c r="G488" s="410"/>
      <c r="H488" s="410"/>
      <c r="I488" s="410"/>
      <c r="J488" s="410"/>
      <c r="K488" s="410"/>
      <c r="L488" s="410"/>
      <c r="M488" s="410"/>
      <c r="N488" s="410"/>
      <c r="O488" s="410"/>
      <c r="P488" s="410"/>
      <c r="Q488" s="410"/>
      <c r="R488" s="410"/>
      <c r="S488" s="410"/>
      <c r="T488" s="410"/>
      <c r="U488" s="410"/>
    </row>
    <row r="489" spans="7:21" x14ac:dyDescent="0.15">
      <c r="G489" s="410"/>
      <c r="H489" s="410"/>
      <c r="I489" s="410"/>
      <c r="J489" s="410"/>
      <c r="K489" s="410"/>
      <c r="L489" s="410"/>
      <c r="M489" s="410"/>
      <c r="N489" s="410"/>
      <c r="O489" s="410"/>
      <c r="P489" s="410"/>
      <c r="Q489" s="410"/>
      <c r="R489" s="410"/>
      <c r="S489" s="410"/>
      <c r="T489" s="410"/>
      <c r="U489" s="410"/>
    </row>
    <row r="490" spans="7:21" x14ac:dyDescent="0.15">
      <c r="G490" s="410"/>
      <c r="H490" s="410"/>
      <c r="I490" s="410"/>
      <c r="J490" s="410"/>
      <c r="K490" s="410"/>
      <c r="L490" s="410"/>
      <c r="M490" s="410"/>
      <c r="N490" s="410"/>
      <c r="O490" s="410"/>
      <c r="P490" s="410"/>
      <c r="Q490" s="410"/>
      <c r="R490" s="410"/>
      <c r="S490" s="410"/>
      <c r="T490" s="410"/>
      <c r="U490" s="410"/>
    </row>
    <row r="491" spans="7:21" x14ac:dyDescent="0.15">
      <c r="G491" s="410"/>
      <c r="H491" s="410"/>
      <c r="I491" s="410"/>
      <c r="J491" s="410"/>
      <c r="K491" s="410"/>
      <c r="L491" s="410"/>
      <c r="M491" s="410"/>
      <c r="N491" s="410"/>
      <c r="O491" s="410"/>
      <c r="P491" s="410"/>
      <c r="Q491" s="410"/>
      <c r="R491" s="410"/>
      <c r="S491" s="410"/>
      <c r="T491" s="410"/>
      <c r="U491" s="410"/>
    </row>
    <row r="492" spans="7:21" x14ac:dyDescent="0.15">
      <c r="G492" s="410"/>
      <c r="H492" s="410"/>
      <c r="I492" s="410"/>
      <c r="J492" s="410"/>
      <c r="K492" s="410"/>
      <c r="L492" s="410"/>
      <c r="M492" s="410"/>
      <c r="N492" s="410"/>
      <c r="O492" s="410"/>
      <c r="P492" s="410"/>
      <c r="Q492" s="410"/>
      <c r="R492" s="410"/>
      <c r="S492" s="410"/>
      <c r="T492" s="410"/>
      <c r="U492" s="410"/>
    </row>
    <row r="493" spans="7:21" x14ac:dyDescent="0.15">
      <c r="G493" s="410"/>
      <c r="H493" s="410"/>
      <c r="I493" s="410"/>
      <c r="J493" s="410"/>
      <c r="K493" s="410"/>
      <c r="L493" s="410"/>
      <c r="M493" s="410"/>
      <c r="N493" s="410"/>
      <c r="O493" s="410"/>
      <c r="P493" s="410"/>
      <c r="Q493" s="410"/>
      <c r="R493" s="410"/>
      <c r="S493" s="410"/>
      <c r="T493" s="410"/>
      <c r="U493" s="410"/>
    </row>
    <row r="494" spans="7:21" x14ac:dyDescent="0.15">
      <c r="G494" s="410"/>
      <c r="H494" s="410"/>
      <c r="I494" s="410"/>
      <c r="J494" s="410"/>
      <c r="K494" s="410"/>
      <c r="L494" s="410"/>
      <c r="M494" s="410"/>
      <c r="N494" s="410"/>
      <c r="O494" s="410"/>
      <c r="P494" s="410"/>
      <c r="Q494" s="410"/>
      <c r="R494" s="410"/>
      <c r="S494" s="410"/>
      <c r="T494" s="410"/>
      <c r="U494" s="410"/>
    </row>
    <row r="495" spans="7:21" x14ac:dyDescent="0.15">
      <c r="G495" s="410"/>
      <c r="H495" s="410"/>
      <c r="I495" s="410"/>
      <c r="J495" s="410"/>
      <c r="K495" s="410"/>
      <c r="L495" s="410"/>
      <c r="M495" s="410"/>
      <c r="N495" s="410"/>
      <c r="O495" s="410"/>
      <c r="P495" s="410"/>
      <c r="Q495" s="410"/>
      <c r="R495" s="410"/>
      <c r="S495" s="410"/>
      <c r="T495" s="410"/>
      <c r="U495" s="410"/>
    </row>
    <row r="496" spans="7:21" x14ac:dyDescent="0.15">
      <c r="G496" s="410"/>
      <c r="H496" s="410"/>
      <c r="I496" s="410"/>
      <c r="J496" s="410"/>
      <c r="K496" s="410"/>
      <c r="L496" s="410"/>
      <c r="M496" s="410"/>
      <c r="N496" s="410"/>
      <c r="O496" s="410"/>
      <c r="P496" s="410"/>
      <c r="Q496" s="410"/>
      <c r="R496" s="410"/>
      <c r="S496" s="410"/>
      <c r="T496" s="410"/>
      <c r="U496" s="410"/>
    </row>
    <row r="497" spans="7:21" x14ac:dyDescent="0.15">
      <c r="G497" s="410"/>
      <c r="H497" s="410"/>
      <c r="I497" s="410"/>
      <c r="J497" s="410"/>
      <c r="K497" s="410"/>
      <c r="L497" s="410"/>
      <c r="M497" s="410"/>
      <c r="N497" s="410"/>
      <c r="O497" s="410"/>
      <c r="P497" s="410"/>
      <c r="Q497" s="410"/>
      <c r="R497" s="410"/>
      <c r="S497" s="410"/>
      <c r="T497" s="410"/>
      <c r="U497" s="410"/>
    </row>
    <row r="498" spans="7:21" x14ac:dyDescent="0.15">
      <c r="G498" s="410"/>
      <c r="H498" s="410"/>
      <c r="I498" s="410"/>
      <c r="J498" s="410"/>
      <c r="K498" s="410"/>
      <c r="L498" s="410"/>
      <c r="M498" s="410"/>
      <c r="N498" s="410"/>
      <c r="O498" s="410"/>
      <c r="P498" s="410"/>
      <c r="Q498" s="410"/>
      <c r="R498" s="410"/>
      <c r="S498" s="410"/>
      <c r="T498" s="410"/>
      <c r="U498" s="410"/>
    </row>
    <row r="499" spans="7:21" x14ac:dyDescent="0.15">
      <c r="G499" s="410"/>
      <c r="H499" s="410"/>
      <c r="I499" s="410"/>
      <c r="J499" s="410"/>
      <c r="K499" s="410"/>
      <c r="L499" s="410"/>
      <c r="M499" s="410"/>
      <c r="N499" s="410"/>
      <c r="O499" s="410"/>
      <c r="P499" s="410"/>
      <c r="Q499" s="410"/>
      <c r="R499" s="410"/>
      <c r="S499" s="410"/>
      <c r="T499" s="410"/>
      <c r="U499" s="410"/>
    </row>
    <row r="500" spans="7:21" x14ac:dyDescent="0.15">
      <c r="G500" s="410"/>
      <c r="H500" s="410"/>
      <c r="I500" s="410"/>
      <c r="J500" s="410"/>
      <c r="K500" s="410"/>
      <c r="L500" s="410"/>
      <c r="M500" s="410"/>
      <c r="N500" s="410"/>
      <c r="O500" s="410"/>
      <c r="P500" s="410"/>
      <c r="Q500" s="410"/>
      <c r="R500" s="410"/>
      <c r="S500" s="410"/>
      <c r="T500" s="410"/>
      <c r="U500" s="410"/>
    </row>
    <row r="501" spans="7:21" x14ac:dyDescent="0.15">
      <c r="G501" s="410"/>
      <c r="H501" s="410"/>
      <c r="I501" s="410"/>
      <c r="J501" s="410"/>
      <c r="K501" s="410"/>
      <c r="L501" s="410"/>
      <c r="M501" s="410"/>
      <c r="N501" s="410"/>
      <c r="O501" s="410"/>
      <c r="P501" s="410"/>
      <c r="Q501" s="410"/>
      <c r="R501" s="410"/>
      <c r="S501" s="410"/>
      <c r="T501" s="410"/>
      <c r="U501" s="410"/>
    </row>
    <row r="502" spans="7:21" x14ac:dyDescent="0.15">
      <c r="G502" s="410"/>
      <c r="H502" s="410"/>
      <c r="I502" s="410"/>
      <c r="J502" s="410"/>
      <c r="K502" s="410"/>
      <c r="L502" s="410"/>
      <c r="M502" s="410"/>
      <c r="N502" s="410"/>
      <c r="O502" s="410"/>
      <c r="P502" s="410"/>
      <c r="Q502" s="410"/>
      <c r="R502" s="410"/>
      <c r="S502" s="410"/>
      <c r="T502" s="410"/>
      <c r="U502" s="410"/>
    </row>
    <row r="503" spans="7:21" x14ac:dyDescent="0.15">
      <c r="G503" s="410"/>
      <c r="H503" s="410"/>
      <c r="I503" s="410"/>
      <c r="J503" s="410"/>
      <c r="K503" s="410"/>
      <c r="L503" s="410"/>
      <c r="M503" s="410"/>
      <c r="N503" s="410"/>
      <c r="O503" s="410"/>
      <c r="P503" s="410"/>
      <c r="Q503" s="410"/>
      <c r="R503" s="410"/>
      <c r="S503" s="410"/>
      <c r="T503" s="410"/>
      <c r="U503" s="410"/>
    </row>
    <row r="504" spans="7:21" x14ac:dyDescent="0.15">
      <c r="G504" s="410"/>
      <c r="H504" s="410"/>
      <c r="I504" s="410"/>
      <c r="J504" s="410"/>
      <c r="K504" s="410"/>
      <c r="L504" s="410"/>
      <c r="M504" s="410"/>
      <c r="N504" s="410"/>
      <c r="O504" s="410"/>
      <c r="P504" s="410"/>
      <c r="Q504" s="410"/>
      <c r="R504" s="410"/>
      <c r="S504" s="410"/>
      <c r="T504" s="410"/>
      <c r="U504" s="410"/>
    </row>
    <row r="505" spans="7:21" x14ac:dyDescent="0.15">
      <c r="G505" s="410"/>
      <c r="H505" s="410"/>
      <c r="I505" s="410"/>
      <c r="J505" s="410"/>
      <c r="K505" s="410"/>
      <c r="L505" s="410"/>
      <c r="M505" s="410"/>
      <c r="N505" s="410"/>
      <c r="O505" s="410"/>
      <c r="P505" s="410"/>
      <c r="Q505" s="410"/>
      <c r="R505" s="410"/>
      <c r="S505" s="410"/>
      <c r="T505" s="410"/>
      <c r="U505" s="410"/>
    </row>
    <row r="506" spans="7:21" x14ac:dyDescent="0.15">
      <c r="G506" s="410"/>
      <c r="H506" s="410"/>
      <c r="I506" s="410"/>
      <c r="J506" s="410"/>
      <c r="K506" s="410"/>
      <c r="L506" s="410"/>
      <c r="M506" s="410"/>
      <c r="N506" s="410"/>
      <c r="O506" s="410"/>
      <c r="P506" s="410"/>
      <c r="Q506" s="410"/>
      <c r="R506" s="410"/>
      <c r="S506" s="410"/>
      <c r="T506" s="410"/>
      <c r="U506" s="410"/>
    </row>
    <row r="507" spans="7:21" x14ac:dyDescent="0.15">
      <c r="G507" s="410"/>
      <c r="H507" s="410"/>
      <c r="I507" s="410"/>
      <c r="J507" s="410"/>
      <c r="K507" s="410"/>
      <c r="L507" s="410"/>
      <c r="M507" s="410"/>
      <c r="N507" s="410"/>
      <c r="O507" s="410"/>
      <c r="P507" s="410"/>
      <c r="Q507" s="410"/>
      <c r="R507" s="410"/>
      <c r="S507" s="410"/>
      <c r="T507" s="410"/>
      <c r="U507" s="410"/>
    </row>
    <row r="508" spans="7:21" x14ac:dyDescent="0.15">
      <c r="G508" s="410"/>
      <c r="H508" s="410"/>
      <c r="I508" s="410"/>
      <c r="J508" s="410"/>
      <c r="K508" s="410"/>
      <c r="L508" s="410"/>
      <c r="M508" s="410"/>
      <c r="N508" s="410"/>
      <c r="O508" s="410"/>
      <c r="P508" s="410"/>
      <c r="Q508" s="410"/>
      <c r="R508" s="410"/>
      <c r="S508" s="410"/>
      <c r="T508" s="410"/>
      <c r="U508" s="410"/>
    </row>
    <row r="509" spans="7:21" x14ac:dyDescent="0.15">
      <c r="G509" s="410"/>
      <c r="H509" s="410"/>
      <c r="I509" s="410"/>
      <c r="J509" s="410"/>
      <c r="K509" s="410"/>
      <c r="L509" s="410"/>
      <c r="M509" s="410"/>
      <c r="N509" s="410"/>
      <c r="O509" s="410"/>
      <c r="P509" s="410"/>
      <c r="Q509" s="410"/>
      <c r="R509" s="410"/>
      <c r="S509" s="410"/>
      <c r="T509" s="410"/>
      <c r="U509" s="410"/>
    </row>
    <row r="510" spans="7:21" x14ac:dyDescent="0.15">
      <c r="G510" s="410"/>
      <c r="H510" s="410"/>
      <c r="I510" s="410"/>
      <c r="J510" s="410"/>
      <c r="K510" s="410"/>
      <c r="L510" s="410"/>
      <c r="M510" s="410"/>
      <c r="N510" s="410"/>
      <c r="O510" s="410"/>
      <c r="P510" s="410"/>
      <c r="Q510" s="410"/>
      <c r="R510" s="410"/>
      <c r="S510" s="410"/>
      <c r="T510" s="410"/>
      <c r="U510" s="410"/>
    </row>
    <row r="511" spans="7:21" x14ac:dyDescent="0.15">
      <c r="G511" s="410"/>
      <c r="H511" s="410"/>
      <c r="I511" s="410"/>
      <c r="J511" s="410"/>
      <c r="K511" s="410"/>
      <c r="L511" s="410"/>
      <c r="M511" s="410"/>
      <c r="N511" s="410"/>
      <c r="O511" s="410"/>
      <c r="P511" s="410"/>
      <c r="Q511" s="410"/>
      <c r="R511" s="410"/>
      <c r="S511" s="410"/>
      <c r="T511" s="410"/>
      <c r="U511" s="410"/>
    </row>
    <row r="512" spans="7:21" x14ac:dyDescent="0.15">
      <c r="G512" s="410"/>
      <c r="H512" s="410"/>
      <c r="I512" s="410"/>
      <c r="J512" s="410"/>
      <c r="K512" s="410"/>
      <c r="L512" s="410"/>
      <c r="M512" s="410"/>
      <c r="N512" s="410"/>
      <c r="O512" s="410"/>
      <c r="P512" s="410"/>
      <c r="Q512" s="410"/>
      <c r="R512" s="410"/>
      <c r="S512" s="410"/>
      <c r="T512" s="410"/>
      <c r="U512" s="410"/>
    </row>
    <row r="513" spans="7:21" x14ac:dyDescent="0.15">
      <c r="G513" s="410"/>
      <c r="H513" s="410"/>
      <c r="I513" s="410"/>
      <c r="J513" s="410"/>
      <c r="K513" s="410"/>
      <c r="L513" s="410"/>
      <c r="M513" s="410"/>
      <c r="N513" s="410"/>
      <c r="O513" s="410"/>
      <c r="P513" s="410"/>
      <c r="Q513" s="410"/>
      <c r="R513" s="410"/>
      <c r="S513" s="410"/>
      <c r="T513" s="410"/>
      <c r="U513" s="410"/>
    </row>
    <row r="514" spans="7:21" x14ac:dyDescent="0.15">
      <c r="G514" s="410"/>
      <c r="H514" s="410"/>
      <c r="I514" s="410"/>
      <c r="J514" s="410"/>
      <c r="K514" s="410"/>
      <c r="L514" s="410"/>
      <c r="M514" s="410"/>
      <c r="N514" s="410"/>
      <c r="O514" s="410"/>
      <c r="P514" s="410"/>
      <c r="Q514" s="410"/>
      <c r="R514" s="410"/>
      <c r="S514" s="410"/>
      <c r="T514" s="410"/>
      <c r="U514" s="410"/>
    </row>
    <row r="515" spans="7:21" x14ac:dyDescent="0.15">
      <c r="G515" s="410"/>
      <c r="H515" s="410"/>
      <c r="I515" s="410"/>
      <c r="J515" s="410"/>
      <c r="K515" s="410"/>
      <c r="L515" s="410"/>
      <c r="M515" s="410"/>
      <c r="N515" s="410"/>
      <c r="O515" s="410"/>
      <c r="P515" s="410"/>
      <c r="Q515" s="410"/>
      <c r="R515" s="410"/>
      <c r="S515" s="410"/>
      <c r="T515" s="410"/>
      <c r="U515" s="410"/>
    </row>
    <row r="516" spans="7:21" x14ac:dyDescent="0.15">
      <c r="G516" s="410"/>
      <c r="H516" s="410"/>
      <c r="I516" s="410"/>
      <c r="J516" s="410"/>
      <c r="K516" s="410"/>
      <c r="L516" s="410"/>
      <c r="M516" s="410"/>
      <c r="N516" s="410"/>
      <c r="O516" s="410"/>
      <c r="P516" s="410"/>
      <c r="Q516" s="410"/>
      <c r="R516" s="410"/>
      <c r="S516" s="410"/>
      <c r="T516" s="410"/>
      <c r="U516" s="410"/>
    </row>
    <row r="517" spans="7:21" x14ac:dyDescent="0.15">
      <c r="G517" s="410"/>
      <c r="H517" s="410"/>
      <c r="I517" s="410"/>
      <c r="J517" s="410"/>
      <c r="K517" s="410"/>
      <c r="L517" s="410"/>
      <c r="M517" s="410"/>
      <c r="N517" s="410"/>
      <c r="O517" s="410"/>
      <c r="P517" s="410"/>
      <c r="Q517" s="410"/>
      <c r="R517" s="410"/>
      <c r="S517" s="410"/>
      <c r="T517" s="410"/>
      <c r="U517" s="410"/>
    </row>
    <row r="518" spans="7:21" x14ac:dyDescent="0.15">
      <c r="G518" s="410"/>
      <c r="H518" s="410"/>
      <c r="I518" s="410"/>
      <c r="J518" s="410"/>
      <c r="K518" s="410"/>
      <c r="L518" s="410"/>
      <c r="M518" s="410"/>
      <c r="N518" s="410"/>
      <c r="O518" s="410"/>
      <c r="P518" s="410"/>
      <c r="Q518" s="410"/>
      <c r="R518" s="410"/>
      <c r="S518" s="410"/>
      <c r="T518" s="410"/>
      <c r="U518" s="410"/>
    </row>
    <row r="519" spans="7:21" x14ac:dyDescent="0.15">
      <c r="G519" s="410"/>
      <c r="H519" s="410"/>
      <c r="I519" s="410"/>
      <c r="J519" s="410"/>
      <c r="K519" s="410"/>
      <c r="L519" s="410"/>
      <c r="M519" s="410"/>
      <c r="N519" s="410"/>
      <c r="O519" s="410"/>
      <c r="P519" s="410"/>
      <c r="Q519" s="410"/>
      <c r="R519" s="410"/>
      <c r="S519" s="410"/>
      <c r="T519" s="410"/>
      <c r="U519" s="410"/>
    </row>
    <row r="520" spans="7:21" x14ac:dyDescent="0.15">
      <c r="G520" s="410"/>
      <c r="H520" s="410"/>
      <c r="I520" s="410"/>
      <c r="J520" s="410"/>
      <c r="K520" s="410"/>
      <c r="L520" s="410"/>
      <c r="M520" s="410"/>
      <c r="N520" s="410"/>
      <c r="O520" s="410"/>
      <c r="P520" s="410"/>
      <c r="Q520" s="410"/>
      <c r="R520" s="410"/>
      <c r="S520" s="410"/>
      <c r="T520" s="410"/>
      <c r="U520" s="410"/>
    </row>
    <row r="521" spans="7:21" x14ac:dyDescent="0.15">
      <c r="G521" s="410"/>
      <c r="H521" s="410"/>
      <c r="I521" s="410"/>
      <c r="J521" s="410"/>
      <c r="K521" s="410"/>
      <c r="L521" s="410"/>
      <c r="M521" s="410"/>
      <c r="N521" s="410"/>
      <c r="O521" s="410"/>
      <c r="P521" s="410"/>
      <c r="Q521" s="410"/>
      <c r="R521" s="410"/>
      <c r="S521" s="410"/>
      <c r="T521" s="410"/>
      <c r="U521" s="410"/>
    </row>
    <row r="522" spans="7:21" x14ac:dyDescent="0.15">
      <c r="G522" s="410"/>
      <c r="H522" s="410"/>
      <c r="I522" s="410"/>
      <c r="J522" s="410"/>
      <c r="K522" s="410"/>
      <c r="L522" s="410"/>
      <c r="M522" s="410"/>
      <c r="N522" s="410"/>
      <c r="O522" s="410"/>
      <c r="P522" s="410"/>
      <c r="Q522" s="410"/>
      <c r="R522" s="410"/>
      <c r="S522" s="410"/>
      <c r="T522" s="410"/>
      <c r="U522" s="410"/>
    </row>
    <row r="523" spans="7:21" x14ac:dyDescent="0.15">
      <c r="G523" s="410"/>
      <c r="H523" s="410"/>
      <c r="I523" s="410"/>
      <c r="J523" s="410"/>
      <c r="K523" s="410"/>
      <c r="L523" s="410"/>
      <c r="M523" s="410"/>
      <c r="N523" s="410"/>
      <c r="O523" s="410"/>
      <c r="P523" s="410"/>
      <c r="Q523" s="410"/>
      <c r="R523" s="410"/>
      <c r="S523" s="410"/>
      <c r="T523" s="410"/>
      <c r="U523" s="410"/>
    </row>
    <row r="524" spans="7:21" x14ac:dyDescent="0.15">
      <c r="G524" s="410"/>
      <c r="H524" s="410"/>
      <c r="I524" s="410"/>
      <c r="J524" s="410"/>
      <c r="K524" s="410"/>
      <c r="L524" s="410"/>
      <c r="M524" s="410"/>
      <c r="N524" s="410"/>
      <c r="O524" s="410"/>
      <c r="P524" s="410"/>
      <c r="Q524" s="410"/>
      <c r="R524" s="410"/>
      <c r="S524" s="410"/>
      <c r="T524" s="410"/>
      <c r="U524" s="410"/>
    </row>
    <row r="525" spans="7:21" x14ac:dyDescent="0.15">
      <c r="G525" s="410"/>
      <c r="H525" s="410"/>
      <c r="I525" s="410"/>
      <c r="J525" s="410"/>
      <c r="K525" s="410"/>
      <c r="L525" s="410"/>
      <c r="M525" s="410"/>
      <c r="N525" s="410"/>
      <c r="O525" s="410"/>
      <c r="P525" s="410"/>
      <c r="Q525" s="410"/>
      <c r="R525" s="410"/>
      <c r="S525" s="410"/>
      <c r="T525" s="410"/>
      <c r="U525" s="410"/>
    </row>
    <row r="526" spans="7:21" x14ac:dyDescent="0.15">
      <c r="G526" s="410"/>
      <c r="H526" s="410"/>
      <c r="I526" s="410"/>
      <c r="J526" s="410"/>
      <c r="K526" s="410"/>
      <c r="L526" s="410"/>
      <c r="M526" s="410"/>
      <c r="N526" s="410"/>
      <c r="O526" s="410"/>
      <c r="P526" s="410"/>
      <c r="Q526" s="410"/>
      <c r="R526" s="410"/>
      <c r="S526" s="410"/>
      <c r="T526" s="410"/>
      <c r="U526" s="410"/>
    </row>
    <row r="527" spans="7:21" x14ac:dyDescent="0.15">
      <c r="G527" s="410"/>
      <c r="H527" s="410"/>
      <c r="I527" s="410"/>
      <c r="J527" s="410"/>
      <c r="K527" s="410"/>
      <c r="L527" s="410"/>
      <c r="M527" s="410"/>
      <c r="N527" s="410"/>
      <c r="O527" s="410"/>
      <c r="P527" s="410"/>
      <c r="Q527" s="410"/>
      <c r="R527" s="410"/>
      <c r="S527" s="410"/>
      <c r="T527" s="410"/>
      <c r="U527" s="410"/>
    </row>
    <row r="528" spans="7:21" x14ac:dyDescent="0.15">
      <c r="G528" s="410"/>
      <c r="H528" s="410"/>
      <c r="I528" s="410"/>
      <c r="J528" s="410"/>
      <c r="K528" s="410"/>
      <c r="L528" s="410"/>
      <c r="M528" s="410"/>
      <c r="N528" s="410"/>
      <c r="O528" s="410"/>
      <c r="P528" s="410"/>
      <c r="Q528" s="410"/>
      <c r="R528" s="410"/>
      <c r="S528" s="410"/>
      <c r="T528" s="410"/>
      <c r="U528" s="410"/>
    </row>
    <row r="529" spans="7:21" x14ac:dyDescent="0.15">
      <c r="G529" s="410"/>
      <c r="H529" s="410"/>
      <c r="I529" s="410"/>
      <c r="J529" s="410"/>
      <c r="K529" s="410"/>
      <c r="L529" s="410"/>
      <c r="M529" s="410"/>
      <c r="N529" s="410"/>
      <c r="O529" s="410"/>
      <c r="P529" s="410"/>
      <c r="Q529" s="410"/>
      <c r="R529" s="410"/>
      <c r="S529" s="410"/>
      <c r="T529" s="410"/>
      <c r="U529" s="410"/>
    </row>
    <row r="530" spans="7:21" x14ac:dyDescent="0.15">
      <c r="G530" s="410"/>
      <c r="H530" s="410"/>
      <c r="I530" s="410"/>
      <c r="J530" s="410"/>
      <c r="K530" s="410"/>
      <c r="L530" s="410"/>
      <c r="M530" s="410"/>
      <c r="N530" s="410"/>
      <c r="O530" s="410"/>
      <c r="P530" s="410"/>
      <c r="Q530" s="410"/>
      <c r="R530" s="410"/>
      <c r="S530" s="410"/>
      <c r="T530" s="410"/>
      <c r="U530" s="410"/>
    </row>
    <row r="531" spans="7:21" x14ac:dyDescent="0.15">
      <c r="G531" s="410"/>
      <c r="H531" s="410"/>
      <c r="I531" s="410"/>
      <c r="J531" s="410"/>
      <c r="K531" s="410"/>
      <c r="L531" s="410"/>
      <c r="M531" s="410"/>
      <c r="N531" s="410"/>
      <c r="O531" s="410"/>
      <c r="P531" s="410"/>
      <c r="Q531" s="410"/>
      <c r="R531" s="410"/>
      <c r="S531" s="410"/>
      <c r="T531" s="410"/>
      <c r="U531" s="410"/>
    </row>
    <row r="532" spans="7:21" x14ac:dyDescent="0.15">
      <c r="G532" s="410"/>
      <c r="H532" s="410"/>
      <c r="I532" s="410"/>
      <c r="J532" s="410"/>
      <c r="K532" s="410"/>
      <c r="L532" s="410"/>
      <c r="M532" s="410"/>
      <c r="N532" s="410"/>
      <c r="O532" s="410"/>
      <c r="P532" s="410"/>
      <c r="Q532" s="410"/>
      <c r="R532" s="410"/>
      <c r="S532" s="410"/>
      <c r="T532" s="410"/>
      <c r="U532" s="410"/>
    </row>
    <row r="533" spans="7:21" x14ac:dyDescent="0.15">
      <c r="G533" s="410"/>
      <c r="H533" s="410"/>
      <c r="I533" s="410"/>
      <c r="J533" s="410"/>
      <c r="K533" s="410"/>
      <c r="L533" s="410"/>
      <c r="M533" s="410"/>
      <c r="N533" s="410"/>
      <c r="O533" s="410"/>
      <c r="P533" s="410"/>
      <c r="Q533" s="410"/>
      <c r="R533" s="410"/>
      <c r="S533" s="410"/>
      <c r="T533" s="410"/>
      <c r="U533" s="410"/>
    </row>
    <row r="534" spans="7:21" x14ac:dyDescent="0.15">
      <c r="G534" s="410"/>
      <c r="H534" s="410"/>
      <c r="I534" s="410"/>
      <c r="J534" s="410"/>
      <c r="K534" s="410"/>
      <c r="L534" s="410"/>
      <c r="M534" s="410"/>
      <c r="N534" s="410"/>
      <c r="O534" s="410"/>
      <c r="P534" s="410"/>
      <c r="Q534" s="410"/>
      <c r="R534" s="410"/>
      <c r="S534" s="410"/>
      <c r="T534" s="410"/>
      <c r="U534" s="410"/>
    </row>
    <row r="535" spans="7:21" x14ac:dyDescent="0.15">
      <c r="G535" s="410"/>
      <c r="H535" s="410"/>
      <c r="I535" s="410"/>
      <c r="J535" s="410"/>
      <c r="K535" s="410"/>
      <c r="L535" s="410"/>
      <c r="M535" s="410"/>
      <c r="N535" s="410"/>
      <c r="O535" s="410"/>
      <c r="P535" s="410"/>
      <c r="Q535" s="410"/>
      <c r="R535" s="410"/>
      <c r="S535" s="410"/>
      <c r="T535" s="410"/>
      <c r="U535" s="410"/>
    </row>
    <row r="536" spans="7:21" x14ac:dyDescent="0.15">
      <c r="G536" s="410"/>
      <c r="H536" s="410"/>
      <c r="I536" s="410"/>
      <c r="J536" s="410"/>
      <c r="K536" s="410"/>
      <c r="L536" s="410"/>
      <c r="M536" s="410"/>
      <c r="N536" s="410"/>
      <c r="O536" s="410"/>
      <c r="P536" s="410"/>
      <c r="Q536" s="410"/>
      <c r="R536" s="410"/>
      <c r="S536" s="410"/>
      <c r="T536" s="410"/>
      <c r="U536" s="410"/>
    </row>
    <row r="537" spans="7:21" x14ac:dyDescent="0.15">
      <c r="G537" s="410"/>
      <c r="H537" s="410"/>
      <c r="I537" s="410"/>
      <c r="J537" s="410"/>
      <c r="K537" s="410"/>
      <c r="L537" s="410"/>
      <c r="M537" s="410"/>
      <c r="N537" s="410"/>
      <c r="O537" s="410"/>
      <c r="P537" s="410"/>
      <c r="Q537" s="410"/>
      <c r="R537" s="410"/>
      <c r="S537" s="410"/>
      <c r="T537" s="410"/>
      <c r="U537" s="410"/>
    </row>
    <row r="538" spans="7:21" x14ac:dyDescent="0.15">
      <c r="G538" s="410"/>
      <c r="H538" s="410"/>
      <c r="I538" s="410"/>
      <c r="J538" s="410"/>
      <c r="K538" s="410"/>
      <c r="L538" s="410"/>
      <c r="M538" s="410"/>
      <c r="N538" s="410"/>
      <c r="O538" s="410"/>
      <c r="P538" s="410"/>
      <c r="Q538" s="410"/>
      <c r="R538" s="410"/>
      <c r="S538" s="410"/>
      <c r="T538" s="410"/>
      <c r="U538" s="410"/>
    </row>
    <row r="539" spans="7:21" x14ac:dyDescent="0.15">
      <c r="G539" s="410"/>
      <c r="H539" s="410"/>
      <c r="I539" s="410"/>
      <c r="J539" s="410"/>
      <c r="K539" s="410"/>
      <c r="L539" s="410"/>
      <c r="M539" s="410"/>
      <c r="N539" s="410"/>
      <c r="O539" s="410"/>
      <c r="P539" s="410"/>
      <c r="Q539" s="410"/>
      <c r="R539" s="410"/>
      <c r="S539" s="410"/>
      <c r="T539" s="410"/>
      <c r="U539" s="410"/>
    </row>
    <row r="540" spans="7:21" x14ac:dyDescent="0.15">
      <c r="G540" s="410"/>
      <c r="H540" s="410"/>
      <c r="I540" s="410"/>
      <c r="J540" s="410"/>
      <c r="K540" s="410"/>
      <c r="L540" s="410"/>
      <c r="M540" s="410"/>
      <c r="N540" s="410"/>
      <c r="O540" s="410"/>
      <c r="P540" s="410"/>
      <c r="Q540" s="410"/>
      <c r="R540" s="410"/>
      <c r="S540" s="410"/>
      <c r="T540" s="410"/>
      <c r="U540" s="410"/>
    </row>
    <row r="541" spans="7:21" x14ac:dyDescent="0.15">
      <c r="G541" s="410"/>
      <c r="H541" s="410"/>
      <c r="I541" s="410"/>
      <c r="J541" s="410"/>
      <c r="K541" s="410"/>
      <c r="L541" s="410"/>
      <c r="M541" s="410"/>
      <c r="N541" s="410"/>
      <c r="O541" s="410"/>
      <c r="P541" s="410"/>
      <c r="Q541" s="410"/>
      <c r="R541" s="410"/>
      <c r="S541" s="410"/>
      <c r="T541" s="410"/>
      <c r="U541" s="410"/>
    </row>
    <row r="542" spans="7:21" x14ac:dyDescent="0.15">
      <c r="G542" s="410"/>
      <c r="H542" s="410"/>
      <c r="I542" s="410"/>
      <c r="J542" s="410"/>
      <c r="K542" s="410"/>
      <c r="L542" s="410"/>
      <c r="M542" s="410"/>
      <c r="N542" s="410"/>
      <c r="O542" s="410"/>
      <c r="P542" s="410"/>
      <c r="Q542" s="410"/>
      <c r="R542" s="410"/>
      <c r="S542" s="410"/>
      <c r="T542" s="410"/>
      <c r="U542" s="410"/>
    </row>
    <row r="543" spans="7:21" x14ac:dyDescent="0.15">
      <c r="G543" s="410"/>
      <c r="H543" s="410"/>
      <c r="I543" s="410"/>
      <c r="J543" s="410"/>
      <c r="K543" s="410"/>
      <c r="L543" s="410"/>
      <c r="M543" s="410"/>
      <c r="N543" s="410"/>
      <c r="O543" s="410"/>
      <c r="P543" s="410"/>
      <c r="Q543" s="410"/>
      <c r="R543" s="410"/>
      <c r="S543" s="410"/>
      <c r="T543" s="410"/>
      <c r="U543" s="410"/>
    </row>
    <row r="544" spans="7:21" x14ac:dyDescent="0.15">
      <c r="G544" s="410"/>
      <c r="H544" s="410"/>
      <c r="I544" s="410"/>
      <c r="J544" s="410"/>
      <c r="K544" s="410"/>
      <c r="L544" s="410"/>
      <c r="M544" s="410"/>
      <c r="N544" s="410"/>
      <c r="O544" s="410"/>
      <c r="P544" s="410"/>
      <c r="Q544" s="410"/>
      <c r="R544" s="410"/>
      <c r="S544" s="410"/>
      <c r="T544" s="410"/>
      <c r="U544" s="410"/>
    </row>
    <row r="545" spans="7:21" x14ac:dyDescent="0.15">
      <c r="G545" s="410"/>
      <c r="H545" s="410"/>
      <c r="I545" s="410"/>
      <c r="J545" s="410"/>
      <c r="K545" s="410"/>
      <c r="L545" s="410"/>
      <c r="M545" s="410"/>
      <c r="N545" s="410"/>
      <c r="O545" s="410"/>
      <c r="P545" s="410"/>
      <c r="Q545" s="410"/>
      <c r="R545" s="410"/>
      <c r="S545" s="410"/>
      <c r="T545" s="410"/>
      <c r="U545" s="410"/>
    </row>
    <row r="546" spans="7:21" x14ac:dyDescent="0.15">
      <c r="G546" s="410"/>
      <c r="H546" s="410"/>
      <c r="I546" s="410"/>
      <c r="J546" s="410"/>
      <c r="K546" s="410"/>
      <c r="L546" s="410"/>
      <c r="M546" s="410"/>
      <c r="N546" s="410"/>
      <c r="O546" s="410"/>
      <c r="P546" s="410"/>
      <c r="Q546" s="410"/>
      <c r="R546" s="410"/>
      <c r="S546" s="410"/>
      <c r="T546" s="410"/>
      <c r="U546" s="410"/>
    </row>
    <row r="547" spans="7:21" x14ac:dyDescent="0.15">
      <c r="G547" s="410"/>
      <c r="H547" s="410"/>
      <c r="I547" s="410"/>
      <c r="J547" s="410"/>
      <c r="K547" s="410"/>
      <c r="L547" s="410"/>
      <c r="M547" s="410"/>
      <c r="N547" s="410"/>
      <c r="O547" s="410"/>
      <c r="P547" s="410"/>
      <c r="Q547" s="410"/>
      <c r="R547" s="410"/>
      <c r="S547" s="410"/>
      <c r="T547" s="410"/>
      <c r="U547" s="410"/>
    </row>
    <row r="548" spans="7:21" x14ac:dyDescent="0.15">
      <c r="G548" s="410"/>
      <c r="H548" s="410"/>
      <c r="I548" s="410"/>
      <c r="J548" s="410"/>
      <c r="K548" s="410"/>
      <c r="L548" s="410"/>
      <c r="M548" s="410"/>
      <c r="N548" s="410"/>
      <c r="O548" s="410"/>
      <c r="P548" s="410"/>
      <c r="Q548" s="410"/>
      <c r="R548" s="410"/>
      <c r="S548" s="410"/>
      <c r="T548" s="410"/>
      <c r="U548" s="410"/>
    </row>
    <row r="549" spans="7:21" x14ac:dyDescent="0.15">
      <c r="G549" s="410"/>
      <c r="H549" s="410"/>
      <c r="I549" s="410"/>
      <c r="J549" s="410"/>
      <c r="K549" s="410"/>
      <c r="L549" s="410"/>
      <c r="M549" s="410"/>
      <c r="N549" s="410"/>
      <c r="O549" s="410"/>
      <c r="P549" s="410"/>
      <c r="Q549" s="410"/>
      <c r="R549" s="410"/>
      <c r="S549" s="410"/>
      <c r="T549" s="410"/>
      <c r="U549" s="410"/>
    </row>
    <row r="550" spans="7:21" x14ac:dyDescent="0.15">
      <c r="G550" s="410"/>
      <c r="H550" s="410"/>
      <c r="I550" s="410"/>
      <c r="J550" s="410"/>
      <c r="K550" s="410"/>
      <c r="L550" s="410"/>
      <c r="M550" s="410"/>
      <c r="N550" s="410"/>
      <c r="O550" s="410"/>
      <c r="P550" s="410"/>
      <c r="Q550" s="410"/>
      <c r="R550" s="410"/>
      <c r="S550" s="410"/>
      <c r="T550" s="410"/>
      <c r="U550" s="410"/>
    </row>
    <row r="551" spans="7:21" x14ac:dyDescent="0.15">
      <c r="G551" s="410"/>
      <c r="H551" s="410"/>
      <c r="I551" s="410"/>
      <c r="J551" s="410"/>
      <c r="K551" s="410"/>
      <c r="L551" s="410"/>
      <c r="M551" s="410"/>
      <c r="N551" s="410"/>
      <c r="O551" s="410"/>
      <c r="P551" s="410"/>
      <c r="Q551" s="410"/>
      <c r="R551" s="410"/>
      <c r="S551" s="410"/>
      <c r="T551" s="410"/>
      <c r="U551" s="410"/>
    </row>
    <row r="552" spans="7:21" x14ac:dyDescent="0.15">
      <c r="G552" s="410"/>
      <c r="H552" s="410"/>
      <c r="I552" s="410"/>
      <c r="J552" s="410"/>
      <c r="K552" s="410"/>
      <c r="L552" s="410"/>
      <c r="M552" s="410"/>
      <c r="N552" s="410"/>
      <c r="O552" s="410"/>
      <c r="P552" s="410"/>
      <c r="Q552" s="410"/>
      <c r="R552" s="410"/>
      <c r="S552" s="410"/>
      <c r="T552" s="410"/>
      <c r="U552" s="410"/>
    </row>
    <row r="553" spans="7:21" x14ac:dyDescent="0.15">
      <c r="G553" s="410"/>
      <c r="H553" s="410"/>
      <c r="I553" s="410"/>
      <c r="J553" s="410"/>
      <c r="K553" s="410"/>
      <c r="L553" s="410"/>
      <c r="M553" s="410"/>
      <c r="N553" s="410"/>
      <c r="O553" s="410"/>
      <c r="P553" s="410"/>
      <c r="Q553" s="410"/>
      <c r="R553" s="410"/>
      <c r="S553" s="410"/>
      <c r="T553" s="410"/>
      <c r="U553" s="410"/>
    </row>
    <row r="554" spans="7:21" x14ac:dyDescent="0.15">
      <c r="G554" s="410"/>
      <c r="H554" s="410"/>
      <c r="I554" s="410"/>
      <c r="J554" s="410"/>
      <c r="K554" s="410"/>
      <c r="L554" s="410"/>
      <c r="M554" s="410"/>
      <c r="N554" s="410"/>
      <c r="O554" s="410"/>
      <c r="P554" s="410"/>
      <c r="Q554" s="410"/>
      <c r="R554" s="410"/>
      <c r="S554" s="410"/>
      <c r="T554" s="410"/>
      <c r="U554" s="410"/>
    </row>
    <row r="555" spans="7:21" x14ac:dyDescent="0.15">
      <c r="G555" s="410"/>
      <c r="H555" s="410"/>
      <c r="I555" s="410"/>
      <c r="J555" s="410"/>
      <c r="K555" s="410"/>
      <c r="L555" s="410"/>
      <c r="M555" s="410"/>
      <c r="N555" s="410"/>
      <c r="O555" s="410"/>
      <c r="P555" s="410"/>
      <c r="Q555" s="410"/>
      <c r="R555" s="410"/>
      <c r="S555" s="410"/>
      <c r="T555" s="410"/>
      <c r="U555" s="410"/>
    </row>
    <row r="556" spans="7:21" x14ac:dyDescent="0.15">
      <c r="G556" s="410"/>
      <c r="H556" s="410"/>
      <c r="I556" s="410"/>
      <c r="J556" s="410"/>
      <c r="K556" s="410"/>
      <c r="L556" s="410"/>
      <c r="M556" s="410"/>
      <c r="N556" s="410"/>
      <c r="O556" s="410"/>
      <c r="P556" s="410"/>
      <c r="Q556" s="410"/>
      <c r="R556" s="410"/>
      <c r="S556" s="410"/>
      <c r="T556" s="410"/>
      <c r="U556" s="410"/>
    </row>
    <row r="557" spans="7:21" x14ac:dyDescent="0.15">
      <c r="G557" s="410"/>
      <c r="H557" s="410"/>
      <c r="I557" s="410"/>
      <c r="J557" s="410"/>
      <c r="K557" s="410"/>
      <c r="L557" s="410"/>
      <c r="M557" s="410"/>
      <c r="N557" s="410"/>
      <c r="O557" s="410"/>
      <c r="P557" s="410"/>
      <c r="Q557" s="410"/>
      <c r="R557" s="410"/>
      <c r="S557" s="410"/>
      <c r="T557" s="410"/>
      <c r="U557" s="410"/>
    </row>
    <row r="558" spans="7:21" x14ac:dyDescent="0.15">
      <c r="G558" s="410"/>
      <c r="H558" s="410"/>
      <c r="I558" s="410"/>
      <c r="J558" s="410"/>
      <c r="K558" s="410"/>
      <c r="L558" s="410"/>
      <c r="M558" s="410"/>
      <c r="N558" s="410"/>
      <c r="O558" s="410"/>
      <c r="P558" s="410"/>
      <c r="Q558" s="410"/>
      <c r="R558" s="410"/>
      <c r="S558" s="410"/>
      <c r="T558" s="410"/>
      <c r="U558" s="410"/>
    </row>
    <row r="559" spans="7:21" x14ac:dyDescent="0.15">
      <c r="G559" s="410"/>
      <c r="H559" s="410"/>
      <c r="I559" s="410"/>
      <c r="J559" s="410"/>
      <c r="K559" s="410"/>
      <c r="L559" s="410"/>
      <c r="M559" s="410"/>
      <c r="N559" s="410"/>
      <c r="O559" s="410"/>
      <c r="P559" s="410"/>
      <c r="Q559" s="410"/>
      <c r="R559" s="410"/>
      <c r="S559" s="410"/>
      <c r="T559" s="410"/>
      <c r="U559" s="410"/>
    </row>
    <row r="560" spans="7:21" x14ac:dyDescent="0.15">
      <c r="G560" s="410"/>
      <c r="H560" s="410"/>
      <c r="I560" s="410"/>
      <c r="J560" s="410"/>
      <c r="K560" s="410"/>
      <c r="L560" s="410"/>
      <c r="M560" s="410"/>
      <c r="N560" s="410"/>
      <c r="O560" s="410"/>
      <c r="P560" s="410"/>
      <c r="Q560" s="410"/>
      <c r="R560" s="410"/>
      <c r="S560" s="410"/>
      <c r="T560" s="410"/>
      <c r="U560" s="410"/>
    </row>
    <row r="561" spans="1:26" x14ac:dyDescent="0.15">
      <c r="G561" s="410"/>
      <c r="H561" s="410"/>
      <c r="I561" s="410"/>
      <c r="J561" s="410"/>
      <c r="K561" s="410"/>
      <c r="L561" s="410"/>
      <c r="M561" s="410"/>
      <c r="N561" s="410"/>
      <c r="O561" s="410"/>
      <c r="P561" s="410"/>
      <c r="Q561" s="410"/>
      <c r="R561" s="410"/>
      <c r="S561" s="410"/>
      <c r="T561" s="410"/>
      <c r="U561" s="410"/>
    </row>
    <row r="562" spans="1:26" x14ac:dyDescent="0.15">
      <c r="G562" s="410"/>
      <c r="H562" s="410"/>
      <c r="I562" s="410"/>
      <c r="J562" s="410"/>
      <c r="K562" s="410"/>
      <c r="L562" s="410"/>
      <c r="M562" s="410"/>
      <c r="N562" s="410"/>
      <c r="O562" s="410"/>
      <c r="P562" s="410"/>
      <c r="Q562" s="410"/>
      <c r="R562" s="410"/>
      <c r="S562" s="410"/>
      <c r="T562" s="410"/>
      <c r="U562" s="410"/>
    </row>
    <row r="563" spans="1:26" x14ac:dyDescent="0.15">
      <c r="G563" s="410"/>
      <c r="H563" s="410"/>
      <c r="I563" s="410"/>
      <c r="J563" s="410"/>
      <c r="K563" s="410"/>
      <c r="L563" s="410"/>
      <c r="M563" s="410"/>
      <c r="N563" s="410"/>
      <c r="O563" s="410"/>
      <c r="P563" s="410"/>
      <c r="Q563" s="410"/>
      <c r="R563" s="410"/>
      <c r="S563" s="410"/>
      <c r="T563" s="410"/>
      <c r="U563" s="410"/>
    </row>
    <row r="564" spans="1:26" x14ac:dyDescent="0.15">
      <c r="G564" s="410"/>
      <c r="H564" s="410"/>
      <c r="I564" s="410"/>
      <c r="J564" s="410"/>
      <c r="K564" s="410"/>
      <c r="L564" s="410"/>
      <c r="M564" s="410"/>
      <c r="N564" s="410"/>
      <c r="O564" s="410"/>
      <c r="P564" s="410"/>
      <c r="Q564" s="410"/>
      <c r="R564" s="410"/>
      <c r="S564" s="410"/>
      <c r="T564" s="410"/>
      <c r="U564" s="410"/>
    </row>
    <row r="565" spans="1:26" x14ac:dyDescent="0.15">
      <c r="G565" s="410"/>
      <c r="H565" s="410"/>
      <c r="I565" s="410"/>
      <c r="J565" s="410"/>
      <c r="K565" s="410"/>
      <c r="L565" s="410"/>
      <c r="M565" s="410"/>
      <c r="N565" s="410"/>
      <c r="O565" s="410"/>
      <c r="P565" s="410"/>
      <c r="Q565" s="410"/>
      <c r="R565" s="410"/>
      <c r="S565" s="410"/>
      <c r="T565" s="410"/>
      <c r="U565" s="410"/>
    </row>
    <row r="566" spans="1:26" x14ac:dyDescent="0.15">
      <c r="G566" s="410"/>
      <c r="H566" s="410"/>
      <c r="I566" s="410"/>
      <c r="J566" s="410"/>
      <c r="K566" s="410"/>
      <c r="L566" s="410"/>
      <c r="M566" s="410"/>
      <c r="N566" s="410"/>
      <c r="O566" s="410"/>
      <c r="P566" s="410"/>
      <c r="Q566" s="410"/>
      <c r="R566" s="410"/>
      <c r="S566" s="410"/>
      <c r="T566" s="410"/>
      <c r="U566" s="410"/>
    </row>
    <row r="567" spans="1:26" x14ac:dyDescent="0.15">
      <c r="G567" s="410"/>
      <c r="H567" s="410"/>
      <c r="I567" s="410"/>
      <c r="J567" s="410"/>
      <c r="K567" s="410"/>
      <c r="L567" s="410"/>
      <c r="M567" s="410"/>
      <c r="N567" s="410"/>
      <c r="O567" s="410"/>
      <c r="P567" s="410"/>
      <c r="Q567" s="410"/>
      <c r="R567" s="410"/>
      <c r="S567" s="410"/>
      <c r="T567" s="410"/>
      <c r="U567" s="410"/>
    </row>
    <row r="568" spans="1:26" x14ac:dyDescent="0.15">
      <c r="A568" s="63"/>
      <c r="G568" s="410"/>
      <c r="H568" s="410"/>
      <c r="I568" s="410"/>
      <c r="J568" s="410"/>
      <c r="K568" s="410"/>
      <c r="L568" s="410"/>
      <c r="M568" s="410"/>
      <c r="N568" s="410"/>
      <c r="O568" s="410"/>
      <c r="P568" s="410"/>
      <c r="Q568" s="410"/>
      <c r="R568" s="410"/>
      <c r="S568" s="410"/>
      <c r="T568" s="410"/>
      <c r="U568" s="410"/>
    </row>
    <row r="569" spans="1:26" x14ac:dyDescent="0.15">
      <c r="A569" s="63"/>
      <c r="B569" s="63"/>
      <c r="C569" s="63"/>
      <c r="D569" s="63"/>
      <c r="E569" s="63"/>
      <c r="F569" s="63"/>
      <c r="G569" s="410"/>
      <c r="H569" s="410"/>
      <c r="I569" s="410"/>
      <c r="J569" s="410"/>
      <c r="K569" s="410"/>
      <c r="L569" s="410"/>
      <c r="M569" s="410"/>
      <c r="N569" s="410"/>
      <c r="O569" s="410"/>
      <c r="P569" s="410"/>
      <c r="Q569" s="410"/>
      <c r="R569" s="410"/>
      <c r="S569" s="410"/>
      <c r="T569" s="410"/>
      <c r="U569" s="410"/>
      <c r="V569" s="63"/>
      <c r="W569" s="63"/>
      <c r="X569" s="63"/>
      <c r="Y569" s="63"/>
      <c r="Z569" s="63"/>
    </row>
    <row r="570" spans="1:26" x14ac:dyDescent="0.15">
      <c r="A570" s="63"/>
      <c r="B570" s="63"/>
      <c r="C570" s="63"/>
      <c r="D570" s="63"/>
      <c r="E570" s="63"/>
      <c r="F570" s="63"/>
      <c r="G570" s="410"/>
      <c r="H570" s="410"/>
      <c r="I570" s="410"/>
      <c r="J570" s="410"/>
      <c r="K570" s="410"/>
      <c r="L570" s="410"/>
      <c r="M570" s="410"/>
      <c r="N570" s="410"/>
      <c r="O570" s="410"/>
      <c r="P570" s="410"/>
      <c r="Q570" s="410"/>
      <c r="R570" s="410"/>
      <c r="S570" s="410"/>
      <c r="T570" s="410"/>
      <c r="U570" s="410"/>
      <c r="V570" s="63"/>
      <c r="W570" s="63"/>
      <c r="X570" s="63"/>
      <c r="Y570" s="63"/>
      <c r="Z570" s="63"/>
    </row>
    <row r="571" spans="1:26" x14ac:dyDescent="0.15">
      <c r="A571" s="63"/>
      <c r="B571" s="63"/>
      <c r="C571" s="63"/>
      <c r="D571" s="63"/>
      <c r="E571" s="63"/>
      <c r="F571" s="63"/>
      <c r="G571" s="410"/>
      <c r="H571" s="410"/>
      <c r="I571" s="410"/>
      <c r="J571" s="410"/>
      <c r="K571" s="410"/>
      <c r="L571" s="410"/>
      <c r="M571" s="410"/>
      <c r="N571" s="410"/>
      <c r="O571" s="410"/>
      <c r="P571" s="410"/>
      <c r="Q571" s="410"/>
      <c r="R571" s="410"/>
      <c r="S571" s="410"/>
      <c r="T571" s="410"/>
      <c r="U571" s="410"/>
      <c r="V571" s="63"/>
      <c r="W571" s="63"/>
      <c r="X571" s="63"/>
      <c r="Y571" s="63"/>
      <c r="Z571" s="63"/>
    </row>
    <row r="572" spans="1:26" x14ac:dyDescent="0.15">
      <c r="A572" s="63"/>
      <c r="B572" s="63"/>
      <c r="C572" s="63"/>
      <c r="D572" s="63"/>
      <c r="E572" s="63"/>
      <c r="F572" s="63"/>
      <c r="G572" s="410"/>
      <c r="H572" s="410"/>
      <c r="I572" s="410"/>
      <c r="J572" s="410"/>
      <c r="K572" s="410"/>
      <c r="L572" s="410"/>
      <c r="M572" s="410"/>
      <c r="N572" s="410"/>
      <c r="O572" s="410"/>
      <c r="P572" s="410"/>
      <c r="Q572" s="410"/>
      <c r="R572" s="410"/>
      <c r="S572" s="410"/>
      <c r="T572" s="410"/>
      <c r="U572" s="410"/>
      <c r="V572" s="63"/>
      <c r="W572" s="63"/>
      <c r="X572" s="63"/>
      <c r="Y572" s="63"/>
      <c r="Z572" s="63"/>
    </row>
    <row r="573" spans="1:26" x14ac:dyDescent="0.15">
      <c r="A573" s="63"/>
      <c r="B573" s="63"/>
      <c r="C573" s="63"/>
      <c r="D573" s="63"/>
      <c r="E573" s="63"/>
      <c r="F573" s="63"/>
      <c r="G573" s="410"/>
      <c r="H573" s="410"/>
      <c r="I573" s="410"/>
      <c r="J573" s="410"/>
      <c r="K573" s="410"/>
      <c r="L573" s="410"/>
      <c r="M573" s="410"/>
      <c r="N573" s="410"/>
      <c r="O573" s="410"/>
      <c r="P573" s="410"/>
      <c r="Q573" s="410"/>
      <c r="R573" s="410"/>
      <c r="S573" s="410"/>
      <c r="T573" s="410"/>
      <c r="U573" s="410"/>
      <c r="V573" s="63"/>
      <c r="W573" s="63"/>
      <c r="X573" s="63"/>
      <c r="Y573" s="63"/>
      <c r="Z573" s="63"/>
    </row>
    <row r="574" spans="1:26" x14ac:dyDescent="0.15">
      <c r="A574" s="63"/>
      <c r="B574" s="63"/>
      <c r="C574" s="63"/>
      <c r="D574" s="63"/>
      <c r="E574" s="63"/>
      <c r="F574" s="63"/>
      <c r="G574" s="410"/>
      <c r="H574" s="700"/>
      <c r="I574" s="410"/>
      <c r="J574" s="410"/>
      <c r="K574" s="410"/>
      <c r="L574" s="410"/>
      <c r="M574" s="410"/>
      <c r="N574" s="410"/>
      <c r="O574" s="410"/>
      <c r="P574" s="410"/>
      <c r="Q574" s="410"/>
      <c r="R574" s="410"/>
      <c r="S574" s="410"/>
      <c r="T574" s="410"/>
      <c r="U574" s="410"/>
      <c r="V574" s="63"/>
      <c r="W574" s="63"/>
      <c r="X574" s="63"/>
      <c r="Y574" s="63"/>
      <c r="Z574" s="63"/>
    </row>
    <row r="575" spans="1:26" hidden="1" x14ac:dyDescent="0.15">
      <c r="A575" s="63"/>
      <c r="B575" s="63"/>
      <c r="C575" s="63"/>
      <c r="D575" s="63"/>
      <c r="E575" s="63"/>
      <c r="F575" s="63"/>
      <c r="G575" s="410"/>
      <c r="H575" s="700" t="s">
        <v>23</v>
      </c>
      <c r="I575" s="410"/>
      <c r="J575" s="410"/>
      <c r="K575" s="410"/>
      <c r="L575" s="410"/>
      <c r="M575" s="410"/>
      <c r="N575" s="410"/>
      <c r="O575" s="410"/>
      <c r="P575" s="410"/>
      <c r="Q575" s="410"/>
      <c r="R575" s="410"/>
      <c r="S575" s="410"/>
      <c r="T575" s="147" t="s">
        <v>325</v>
      </c>
      <c r="U575" s="410"/>
      <c r="V575" s="63"/>
      <c r="W575" s="63"/>
      <c r="X575" s="63"/>
      <c r="Y575" s="63"/>
      <c r="Z575" s="63"/>
    </row>
    <row r="576" spans="1:26" hidden="1" x14ac:dyDescent="0.15">
      <c r="A576" s="63"/>
      <c r="B576" s="63"/>
      <c r="C576" s="63"/>
      <c r="D576" s="63"/>
      <c r="E576" s="63"/>
      <c r="F576" s="63"/>
      <c r="G576" s="410"/>
      <c r="H576" s="700" t="s">
        <v>24</v>
      </c>
      <c r="I576" s="410"/>
      <c r="J576" s="410"/>
      <c r="K576" s="410"/>
      <c r="L576" s="410"/>
      <c r="M576" s="410"/>
      <c r="N576" s="410"/>
      <c r="O576" s="410"/>
      <c r="P576" s="410"/>
      <c r="Q576" s="410"/>
      <c r="R576" s="410"/>
      <c r="S576" s="410"/>
      <c r="T576" s="147" t="s">
        <v>99</v>
      </c>
      <c r="U576" s="410"/>
      <c r="V576" s="63"/>
      <c r="W576" s="63"/>
      <c r="X576" s="63"/>
      <c r="Y576" s="63"/>
      <c r="Z576" s="63"/>
    </row>
    <row r="577" spans="1:26" hidden="1" x14ac:dyDescent="0.15">
      <c r="A577" s="63"/>
      <c r="B577" s="63"/>
      <c r="C577" s="63"/>
      <c r="D577" s="63"/>
      <c r="E577" s="63"/>
      <c r="F577" s="63"/>
      <c r="G577" s="410"/>
      <c r="H577" s="700" t="s">
        <v>25</v>
      </c>
      <c r="I577" s="410"/>
      <c r="J577" s="410"/>
      <c r="K577" s="410"/>
      <c r="L577" s="410"/>
      <c r="M577" s="410"/>
      <c r="N577" s="410"/>
      <c r="O577" s="410"/>
      <c r="P577" s="410"/>
      <c r="Q577" s="410"/>
      <c r="R577" s="410"/>
      <c r="S577" s="410"/>
      <c r="T577" s="147" t="s">
        <v>326</v>
      </c>
      <c r="U577" s="410"/>
      <c r="V577" s="63"/>
      <c r="W577" s="63"/>
      <c r="X577" s="63"/>
      <c r="Y577" s="63"/>
      <c r="Z577" s="63"/>
    </row>
    <row r="578" spans="1:26" hidden="1" x14ac:dyDescent="0.15">
      <c r="A578" s="63"/>
      <c r="B578" s="63"/>
      <c r="C578" s="63"/>
      <c r="D578" s="63"/>
      <c r="E578" s="63"/>
      <c r="F578" s="63"/>
      <c r="G578" s="410"/>
      <c r="H578" s="700" t="s">
        <v>26</v>
      </c>
      <c r="I578" s="410"/>
      <c r="J578" s="410"/>
      <c r="K578" s="410"/>
      <c r="L578" s="410"/>
      <c r="M578" s="410"/>
      <c r="N578" s="410"/>
      <c r="O578" s="410"/>
      <c r="P578" s="410"/>
      <c r="Q578" s="410"/>
      <c r="R578" s="410"/>
      <c r="S578" s="410"/>
      <c r="T578" s="147" t="s">
        <v>327</v>
      </c>
      <c r="U578" s="410"/>
      <c r="V578" s="63"/>
      <c r="W578" s="63"/>
      <c r="X578" s="63"/>
      <c r="Y578" s="63"/>
      <c r="Z578" s="63"/>
    </row>
    <row r="579" spans="1:26" hidden="1" x14ac:dyDescent="0.15">
      <c r="A579" s="63"/>
      <c r="B579" s="63"/>
      <c r="C579" s="63"/>
      <c r="D579" s="63"/>
      <c r="E579" s="63"/>
      <c r="F579" s="63"/>
      <c r="G579" s="410"/>
      <c r="H579" s="700" t="s">
        <v>27</v>
      </c>
      <c r="I579" s="410"/>
      <c r="J579" s="410"/>
      <c r="K579" s="410"/>
      <c r="L579" s="410"/>
      <c r="M579" s="410"/>
      <c r="N579" s="410"/>
      <c r="O579" s="410"/>
      <c r="P579" s="410"/>
      <c r="Q579" s="410"/>
      <c r="R579" s="410"/>
      <c r="S579" s="410"/>
      <c r="T579" s="147" t="s">
        <v>328</v>
      </c>
      <c r="U579" s="410"/>
      <c r="V579" s="63"/>
      <c r="W579" s="63"/>
      <c r="X579" s="63"/>
      <c r="Y579" s="63"/>
      <c r="Z579" s="63"/>
    </row>
    <row r="580" spans="1:26" hidden="1" x14ac:dyDescent="0.15">
      <c r="A580" s="63"/>
      <c r="B580" s="63"/>
      <c r="C580" s="63"/>
      <c r="D580" s="63"/>
      <c r="E580" s="63"/>
      <c r="F580" s="63"/>
      <c r="G580" s="410"/>
      <c r="H580" s="700" t="s">
        <v>28</v>
      </c>
      <c r="I580" s="410"/>
      <c r="J580" s="410"/>
      <c r="K580" s="410"/>
      <c r="L580" s="410"/>
      <c r="M580" s="410"/>
      <c r="N580" s="410"/>
      <c r="O580" s="410"/>
      <c r="P580" s="410"/>
      <c r="Q580" s="410"/>
      <c r="R580" s="410"/>
      <c r="S580" s="410"/>
      <c r="T580" s="147" t="s">
        <v>329</v>
      </c>
      <c r="U580" s="410"/>
      <c r="V580" s="63"/>
      <c r="W580" s="63"/>
      <c r="X580" s="63"/>
      <c r="Y580" s="63"/>
      <c r="Z580" s="63"/>
    </row>
    <row r="581" spans="1:26" hidden="1" x14ac:dyDescent="0.15">
      <c r="A581" s="63"/>
      <c r="B581" s="63"/>
      <c r="C581" s="63"/>
      <c r="D581" s="63"/>
      <c r="E581" s="63"/>
      <c r="F581" s="63"/>
      <c r="G581" s="410"/>
      <c r="H581" s="700" t="s">
        <v>275</v>
      </c>
      <c r="I581" s="410"/>
      <c r="J581" s="410"/>
      <c r="K581" s="410"/>
      <c r="L581" s="410"/>
      <c r="M581" s="410"/>
      <c r="N581" s="410"/>
      <c r="O581" s="410"/>
      <c r="P581" s="410"/>
      <c r="Q581" s="410"/>
      <c r="R581" s="410"/>
      <c r="S581" s="410"/>
      <c r="T581" s="147" t="s">
        <v>330</v>
      </c>
      <c r="U581" s="410"/>
      <c r="V581" s="63"/>
      <c r="W581" s="63"/>
      <c r="X581" s="63"/>
      <c r="Y581" s="63"/>
      <c r="Z581" s="63"/>
    </row>
    <row r="582" spans="1:26" hidden="1" x14ac:dyDescent="0.15">
      <c r="A582" s="63"/>
      <c r="B582" s="63"/>
      <c r="C582" s="63"/>
      <c r="D582" s="63"/>
      <c r="E582" s="63"/>
      <c r="F582" s="63"/>
      <c r="G582" s="410"/>
      <c r="H582" s="700" t="s">
        <v>30</v>
      </c>
      <c r="I582" s="410"/>
      <c r="J582" s="410"/>
      <c r="K582" s="410"/>
      <c r="L582" s="410"/>
      <c r="M582" s="410"/>
      <c r="N582" s="410"/>
      <c r="O582" s="410"/>
      <c r="P582" s="410"/>
      <c r="Q582" s="410"/>
      <c r="R582" s="410"/>
      <c r="S582" s="410"/>
      <c r="T582" s="147" t="s">
        <v>331</v>
      </c>
      <c r="U582" s="410"/>
      <c r="V582" s="63"/>
      <c r="W582" s="63"/>
      <c r="X582" s="63"/>
      <c r="Y582" s="63"/>
      <c r="Z582" s="63"/>
    </row>
    <row r="583" spans="1:26" hidden="1" x14ac:dyDescent="0.15">
      <c r="A583" s="63"/>
      <c r="B583" s="63"/>
      <c r="C583" s="63"/>
      <c r="D583" s="63"/>
      <c r="E583" s="63"/>
      <c r="F583" s="63"/>
      <c r="G583" s="410"/>
      <c r="H583" s="700" t="s">
        <v>31</v>
      </c>
      <c r="I583" s="410"/>
      <c r="J583" s="410"/>
      <c r="K583" s="410"/>
      <c r="L583" s="410"/>
      <c r="M583" s="410"/>
      <c r="N583" s="410"/>
      <c r="O583" s="410"/>
      <c r="P583" s="410"/>
      <c r="Q583" s="410"/>
      <c r="R583" s="410"/>
      <c r="S583" s="410"/>
      <c r="T583" s="147" t="s">
        <v>332</v>
      </c>
      <c r="U583" s="410"/>
      <c r="V583" s="63"/>
      <c r="W583" s="63"/>
      <c r="X583" s="63"/>
      <c r="Y583" s="63"/>
      <c r="Z583" s="63"/>
    </row>
    <row r="584" spans="1:26" hidden="1" x14ac:dyDescent="0.15">
      <c r="A584" s="63"/>
      <c r="B584" s="63"/>
      <c r="C584" s="63"/>
      <c r="D584" s="63"/>
      <c r="E584" s="63"/>
      <c r="F584" s="63"/>
      <c r="G584" s="410"/>
      <c r="H584" s="700" t="s">
        <v>276</v>
      </c>
      <c r="I584" s="410"/>
      <c r="J584" s="410"/>
      <c r="K584" s="410"/>
      <c r="L584" s="410"/>
      <c r="M584" s="410"/>
      <c r="N584" s="410"/>
      <c r="O584" s="410"/>
      <c r="P584" s="410"/>
      <c r="Q584" s="410"/>
      <c r="R584" s="410"/>
      <c r="S584" s="410"/>
      <c r="T584" s="147" t="s">
        <v>333</v>
      </c>
      <c r="U584" s="410"/>
      <c r="V584" s="63"/>
      <c r="W584" s="63"/>
      <c r="X584" s="63"/>
      <c r="Y584" s="63"/>
      <c r="Z584" s="63"/>
    </row>
    <row r="585" spans="1:26" hidden="1" x14ac:dyDescent="0.15">
      <c r="A585" s="63"/>
      <c r="B585" s="63"/>
      <c r="C585" s="63"/>
      <c r="D585" s="63"/>
      <c r="E585" s="63"/>
      <c r="F585" s="63"/>
      <c r="G585" s="410"/>
      <c r="H585" s="700" t="s">
        <v>33</v>
      </c>
      <c r="I585" s="410"/>
      <c r="J585" s="410"/>
      <c r="K585" s="410"/>
      <c r="L585" s="410"/>
      <c r="M585" s="410"/>
      <c r="N585" s="410"/>
      <c r="O585" s="410"/>
      <c r="P585" s="410"/>
      <c r="Q585" s="410"/>
      <c r="R585" s="410"/>
      <c r="S585" s="410"/>
      <c r="T585" s="147" t="s">
        <v>334</v>
      </c>
      <c r="U585" s="410"/>
      <c r="V585" s="63"/>
      <c r="W585" s="63"/>
      <c r="X585" s="63"/>
      <c r="Y585" s="63"/>
      <c r="Z585" s="63"/>
    </row>
    <row r="586" spans="1:26" hidden="1" x14ac:dyDescent="0.15">
      <c r="A586" s="63"/>
      <c r="B586" s="63"/>
      <c r="C586" s="63"/>
      <c r="D586" s="63"/>
      <c r="E586" s="63"/>
      <c r="F586" s="63"/>
      <c r="G586" s="410"/>
      <c r="H586" s="700" t="s">
        <v>34</v>
      </c>
      <c r="I586" s="410"/>
      <c r="J586" s="410"/>
      <c r="K586" s="410"/>
      <c r="L586" s="410"/>
      <c r="M586" s="410"/>
      <c r="N586" s="410"/>
      <c r="O586" s="410"/>
      <c r="P586" s="410"/>
      <c r="Q586" s="410"/>
      <c r="R586" s="410"/>
      <c r="S586" s="410"/>
      <c r="T586" s="147" t="s">
        <v>335</v>
      </c>
      <c r="U586" s="410"/>
      <c r="V586" s="63"/>
      <c r="W586" s="63"/>
      <c r="X586" s="63"/>
      <c r="Y586" s="63"/>
      <c r="Z586" s="63"/>
    </row>
    <row r="587" spans="1:26" hidden="1" x14ac:dyDescent="0.15">
      <c r="A587" s="63"/>
      <c r="B587" s="63"/>
      <c r="C587" s="63"/>
      <c r="D587" s="63"/>
      <c r="E587" s="63"/>
      <c r="F587" s="63"/>
      <c r="G587" s="410"/>
      <c r="H587" s="700" t="s">
        <v>35</v>
      </c>
      <c r="I587" s="410"/>
      <c r="J587" s="410"/>
      <c r="K587" s="410"/>
      <c r="L587" s="410"/>
      <c r="M587" s="410"/>
      <c r="N587" s="410"/>
      <c r="O587" s="410"/>
      <c r="P587" s="410"/>
      <c r="Q587" s="410"/>
      <c r="R587" s="410"/>
      <c r="S587" s="410"/>
      <c r="T587" s="147" t="s">
        <v>336</v>
      </c>
      <c r="U587" s="410"/>
      <c r="V587" s="63"/>
      <c r="W587" s="63"/>
      <c r="X587" s="63"/>
      <c r="Y587" s="63"/>
      <c r="Z587" s="63"/>
    </row>
    <row r="588" spans="1:26" hidden="1" x14ac:dyDescent="0.15">
      <c r="A588" s="63"/>
      <c r="B588" s="63"/>
      <c r="C588" s="63"/>
      <c r="D588" s="63"/>
      <c r="E588" s="63"/>
      <c r="F588" s="63"/>
      <c r="G588" s="410"/>
      <c r="H588" s="700" t="s">
        <v>36</v>
      </c>
      <c r="I588" s="410"/>
      <c r="J588" s="410"/>
      <c r="K588" s="410"/>
      <c r="L588" s="410"/>
      <c r="M588" s="410"/>
      <c r="N588" s="410"/>
      <c r="O588" s="410"/>
      <c r="P588" s="410"/>
      <c r="Q588" s="410"/>
      <c r="R588" s="410"/>
      <c r="S588" s="410"/>
      <c r="T588" s="147" t="s">
        <v>337</v>
      </c>
      <c r="U588" s="410"/>
      <c r="V588" s="63"/>
      <c r="W588" s="63"/>
      <c r="X588" s="63"/>
      <c r="Y588" s="63"/>
      <c r="Z588" s="63"/>
    </row>
    <row r="589" spans="1:26" hidden="1" x14ac:dyDescent="0.15">
      <c r="A589" s="63"/>
      <c r="B589" s="63"/>
      <c r="C589" s="63"/>
      <c r="D589" s="63"/>
      <c r="E589" s="63"/>
      <c r="F589" s="63"/>
      <c r="G589" s="410"/>
      <c r="H589" s="700" t="s">
        <v>37</v>
      </c>
      <c r="I589" s="410"/>
      <c r="J589" s="410"/>
      <c r="K589" s="410"/>
      <c r="L589" s="410"/>
      <c r="M589" s="410"/>
      <c r="N589" s="410"/>
      <c r="O589" s="410"/>
      <c r="P589" s="410"/>
      <c r="Q589" s="410"/>
      <c r="R589" s="410"/>
      <c r="S589" s="410"/>
      <c r="T589" s="147" t="s">
        <v>338</v>
      </c>
      <c r="U589" s="410"/>
      <c r="V589" s="63"/>
      <c r="W589" s="63"/>
      <c r="X589" s="63"/>
      <c r="Y589" s="63"/>
      <c r="Z589" s="63"/>
    </row>
    <row r="590" spans="1:26" hidden="1" x14ac:dyDescent="0.15">
      <c r="A590" s="63"/>
      <c r="B590" s="63"/>
      <c r="C590" s="63"/>
      <c r="D590" s="63"/>
      <c r="E590" s="63"/>
      <c r="F590" s="63"/>
      <c r="G590" s="410"/>
      <c r="H590" s="700" t="s">
        <v>38</v>
      </c>
      <c r="I590" s="410"/>
      <c r="J590" s="410"/>
      <c r="K590" s="410"/>
      <c r="L590" s="410"/>
      <c r="M590" s="410"/>
      <c r="N590" s="410"/>
      <c r="O590" s="410"/>
      <c r="P590" s="410"/>
      <c r="Q590" s="410"/>
      <c r="R590" s="410"/>
      <c r="S590" s="410"/>
      <c r="T590" s="147" t="s">
        <v>339</v>
      </c>
      <c r="U590" s="410"/>
      <c r="V590" s="63"/>
      <c r="W590" s="63"/>
      <c r="X590" s="63"/>
      <c r="Y590" s="63"/>
      <c r="Z590" s="63"/>
    </row>
    <row r="591" spans="1:26" hidden="1" x14ac:dyDescent="0.15">
      <c r="A591" s="63"/>
      <c r="B591" s="63"/>
      <c r="C591" s="63"/>
      <c r="D591" s="63"/>
      <c r="E591" s="63"/>
      <c r="F591" s="63"/>
      <c r="G591" s="410"/>
      <c r="H591" s="700" t="s">
        <v>277</v>
      </c>
      <c r="I591" s="410"/>
      <c r="J591" s="410"/>
      <c r="K591" s="410"/>
      <c r="L591" s="410"/>
      <c r="M591" s="410"/>
      <c r="N591" s="410"/>
      <c r="O591" s="410"/>
      <c r="P591" s="410"/>
      <c r="Q591" s="410"/>
      <c r="R591" s="410"/>
      <c r="S591" s="410"/>
      <c r="T591" s="147" t="s">
        <v>340</v>
      </c>
      <c r="U591" s="410"/>
      <c r="V591" s="63"/>
      <c r="W591" s="63"/>
      <c r="X591" s="63"/>
      <c r="Y591" s="63"/>
      <c r="Z591" s="63"/>
    </row>
    <row r="592" spans="1:26" hidden="1" x14ac:dyDescent="0.15">
      <c r="A592" s="63"/>
      <c r="B592" s="63"/>
      <c r="C592" s="78"/>
      <c r="D592" s="78"/>
      <c r="E592" s="63"/>
      <c r="F592" s="63"/>
      <c r="G592" s="410"/>
      <c r="H592" s="700"/>
      <c r="I592" s="410"/>
      <c r="J592" s="410"/>
      <c r="K592" s="410"/>
      <c r="L592" s="410"/>
      <c r="M592" s="410"/>
      <c r="N592" s="410"/>
      <c r="O592" s="410"/>
      <c r="P592" s="410"/>
      <c r="Q592" s="410"/>
      <c r="R592" s="410"/>
      <c r="S592" s="410"/>
      <c r="T592" s="147" t="s">
        <v>341</v>
      </c>
      <c r="U592" s="410"/>
      <c r="V592" s="63"/>
      <c r="W592" s="63"/>
      <c r="X592" s="63"/>
      <c r="Y592" s="63"/>
      <c r="Z592" s="63"/>
    </row>
    <row r="593" spans="1:26" hidden="1" x14ac:dyDescent="0.15">
      <c r="A593" s="63"/>
      <c r="B593" s="63"/>
      <c r="C593" s="79" t="s">
        <v>278</v>
      </c>
      <c r="D593" s="79"/>
      <c r="E593" s="63"/>
      <c r="F593" s="63"/>
      <c r="G593" s="410"/>
      <c r="H593" s="700"/>
      <c r="I593" s="410"/>
      <c r="J593" s="410"/>
      <c r="K593" s="410"/>
      <c r="L593" s="410"/>
      <c r="M593" s="410"/>
      <c r="N593" s="410"/>
      <c r="O593" s="410"/>
      <c r="P593" s="410"/>
      <c r="Q593" s="410"/>
      <c r="R593" s="410"/>
      <c r="S593" s="410"/>
      <c r="T593" s="147" t="s">
        <v>342</v>
      </c>
      <c r="U593" s="410"/>
      <c r="V593" s="63"/>
      <c r="W593" s="63"/>
      <c r="X593" s="63"/>
      <c r="Y593" s="63"/>
      <c r="Z593" s="63"/>
    </row>
    <row r="594" spans="1:26" hidden="1" x14ac:dyDescent="0.15">
      <c r="A594" s="63"/>
      <c r="B594" s="63"/>
      <c r="C594" s="79" t="s">
        <v>279</v>
      </c>
      <c r="D594" s="79"/>
      <c r="E594" s="63"/>
      <c r="F594" s="63"/>
      <c r="G594" s="410"/>
      <c r="H594" s="700"/>
      <c r="I594" s="410"/>
      <c r="J594" s="410"/>
      <c r="K594" s="410"/>
      <c r="L594" s="410"/>
      <c r="M594" s="410"/>
      <c r="N594" s="410"/>
      <c r="O594" s="410"/>
      <c r="P594" s="410"/>
      <c r="Q594" s="410"/>
      <c r="R594" s="410"/>
      <c r="S594" s="410"/>
      <c r="T594" s="147" t="s">
        <v>343</v>
      </c>
      <c r="U594" s="410"/>
      <c r="V594" s="63"/>
      <c r="W594" s="63"/>
      <c r="X594" s="63"/>
      <c r="Y594" s="63"/>
      <c r="Z594" s="63"/>
    </row>
    <row r="595" spans="1:26" hidden="1" x14ac:dyDescent="0.15">
      <c r="A595" s="63"/>
      <c r="B595" s="63"/>
      <c r="C595" s="79" t="s">
        <v>280</v>
      </c>
      <c r="D595" s="79"/>
      <c r="E595" s="63"/>
      <c r="F595" s="410">
        <v>21</v>
      </c>
      <c r="G595" s="410"/>
      <c r="H595" s="700"/>
      <c r="I595" s="410"/>
      <c r="J595" s="410"/>
      <c r="K595" s="410"/>
      <c r="L595" s="410"/>
      <c r="M595" s="410"/>
      <c r="N595" s="410"/>
      <c r="O595" s="410"/>
      <c r="P595" s="410"/>
      <c r="Q595" s="410"/>
      <c r="R595" s="410"/>
      <c r="S595" s="410"/>
      <c r="T595" s="147" t="s">
        <v>344</v>
      </c>
      <c r="U595" s="701"/>
      <c r="V595" s="63"/>
      <c r="W595" s="63"/>
      <c r="X595" s="63"/>
      <c r="Y595" s="63"/>
      <c r="Z595" s="63"/>
    </row>
    <row r="596" spans="1:26" hidden="1" x14ac:dyDescent="0.15">
      <c r="A596" s="63"/>
      <c r="B596" s="63"/>
      <c r="C596" s="79" t="s">
        <v>281</v>
      </c>
      <c r="D596" s="79"/>
      <c r="E596" s="63"/>
      <c r="F596" s="410">
        <v>24</v>
      </c>
      <c r="G596" s="410"/>
      <c r="H596" s="700"/>
      <c r="I596" s="410"/>
      <c r="J596" s="410" t="s">
        <v>251</v>
      </c>
      <c r="K596" s="410"/>
      <c r="L596" s="410"/>
      <c r="M596" s="410"/>
      <c r="N596" s="410"/>
      <c r="O596" s="410"/>
      <c r="P596" s="410"/>
      <c r="Q596" s="410"/>
      <c r="R596" s="410"/>
      <c r="S596" s="410"/>
      <c r="T596" s="147" t="s">
        <v>345</v>
      </c>
      <c r="U596" s="701"/>
      <c r="V596" s="63"/>
      <c r="W596" s="63"/>
      <c r="X596" s="63"/>
      <c r="Y596" s="63"/>
      <c r="Z596" s="63"/>
    </row>
    <row r="597" spans="1:26" hidden="1" x14ac:dyDescent="0.15">
      <c r="A597" s="63"/>
      <c r="B597" s="63"/>
      <c r="C597" s="79" t="s">
        <v>282</v>
      </c>
      <c r="D597" s="79"/>
      <c r="E597" s="63"/>
      <c r="F597" s="410">
        <v>30</v>
      </c>
      <c r="G597" s="410"/>
      <c r="H597" s="700"/>
      <c r="I597" s="410"/>
      <c r="J597" s="410" t="s">
        <v>252</v>
      </c>
      <c r="K597" s="410"/>
      <c r="L597" s="410"/>
      <c r="M597" s="410"/>
      <c r="N597" s="410"/>
      <c r="O597" s="410"/>
      <c r="P597" s="410"/>
      <c r="Q597" s="410"/>
      <c r="R597" s="410"/>
      <c r="S597" s="410"/>
      <c r="T597" s="147" t="s">
        <v>346</v>
      </c>
      <c r="U597" s="701"/>
      <c r="V597" s="63"/>
      <c r="W597" s="63"/>
      <c r="X597" s="63"/>
      <c r="Y597" s="63"/>
      <c r="Z597" s="63"/>
    </row>
    <row r="598" spans="1:26" hidden="1" x14ac:dyDescent="0.15">
      <c r="A598" s="63"/>
      <c r="B598" s="63"/>
      <c r="C598" s="82" t="s">
        <v>283</v>
      </c>
      <c r="D598" s="82"/>
      <c r="E598" s="63"/>
      <c r="F598" s="410">
        <v>40</v>
      </c>
      <c r="G598" s="410"/>
      <c r="H598" s="700"/>
      <c r="I598" s="410"/>
      <c r="J598" s="410"/>
      <c r="K598" s="410"/>
      <c r="L598" s="410"/>
      <c r="M598" s="410"/>
      <c r="N598" s="410"/>
      <c r="O598" s="410"/>
      <c r="P598" s="410"/>
      <c r="Q598" s="410"/>
      <c r="R598" s="410"/>
      <c r="S598" s="410"/>
      <c r="T598" s="147" t="s">
        <v>347</v>
      </c>
      <c r="U598" s="701"/>
      <c r="V598" s="63"/>
      <c r="W598" s="63"/>
      <c r="X598" s="63"/>
      <c r="Y598" s="63"/>
      <c r="Z598" s="63"/>
    </row>
    <row r="599" spans="1:26" hidden="1" x14ac:dyDescent="0.15">
      <c r="A599" s="63"/>
      <c r="B599" s="63"/>
      <c r="C599" s="14" t="s">
        <v>284</v>
      </c>
      <c r="D599" s="14"/>
      <c r="E599" s="63"/>
      <c r="F599" s="410">
        <v>45</v>
      </c>
      <c r="G599" s="410"/>
      <c r="H599" s="700"/>
      <c r="I599" s="410"/>
      <c r="J599" s="410"/>
      <c r="K599" s="410"/>
      <c r="L599" s="410"/>
      <c r="M599" s="410"/>
      <c r="N599" s="410"/>
      <c r="O599" s="410"/>
      <c r="P599" s="410"/>
      <c r="Q599" s="410"/>
      <c r="R599" s="410"/>
      <c r="S599" s="410"/>
      <c r="T599" s="147" t="s">
        <v>348</v>
      </c>
      <c r="U599" s="701"/>
      <c r="V599" s="63"/>
      <c r="W599" s="63"/>
      <c r="X599" s="63"/>
      <c r="Y599" s="63"/>
      <c r="Z599" s="63"/>
    </row>
    <row r="600" spans="1:26" hidden="1" x14ac:dyDescent="0.15">
      <c r="A600" s="63"/>
      <c r="B600" s="63"/>
      <c r="C600" s="79" t="s">
        <v>285</v>
      </c>
      <c r="D600" s="79"/>
      <c r="E600" s="63"/>
      <c r="F600" s="410">
        <v>60</v>
      </c>
      <c r="G600" s="410"/>
      <c r="H600" s="700"/>
      <c r="I600" s="410">
        <v>1</v>
      </c>
      <c r="J600" s="702" t="s">
        <v>260</v>
      </c>
      <c r="K600" s="703">
        <f>+準備!G20</f>
        <v>450</v>
      </c>
      <c r="L600" s="410" t="e">
        <f>ROUND(K600*#REF!/100,1)</f>
        <v>#REF!</v>
      </c>
      <c r="M600" s="410">
        <v>1</v>
      </c>
      <c r="N600" s="410" t="s">
        <v>1195</v>
      </c>
      <c r="O600" s="703">
        <f>+準備!G20</f>
        <v>450</v>
      </c>
      <c r="P600" s="410"/>
      <c r="Q600" s="410"/>
      <c r="R600" s="410"/>
      <c r="S600" s="410"/>
      <c r="T600" s="147" t="s">
        <v>349</v>
      </c>
      <c r="U600" s="701"/>
      <c r="V600" s="63"/>
      <c r="W600" s="63"/>
      <c r="X600" s="63"/>
      <c r="Y600" s="63"/>
      <c r="Z600" s="63"/>
    </row>
    <row r="601" spans="1:26" hidden="1" x14ac:dyDescent="0.15">
      <c r="A601" s="63"/>
      <c r="B601" s="63"/>
      <c r="C601" s="79" t="s">
        <v>286</v>
      </c>
      <c r="D601" s="79"/>
      <c r="E601" s="63"/>
      <c r="F601" s="410">
        <v>75</v>
      </c>
      <c r="G601" s="410"/>
      <c r="H601" s="700"/>
      <c r="I601" s="410">
        <v>2</v>
      </c>
      <c r="J601" s="702" t="s">
        <v>261</v>
      </c>
      <c r="K601" s="703">
        <f>+準備!G24</f>
        <v>1100</v>
      </c>
      <c r="L601" s="410" t="e">
        <f>ROUND(K601*#REF!/100,1)</f>
        <v>#REF!</v>
      </c>
      <c r="M601" s="410">
        <v>2</v>
      </c>
      <c r="N601" s="410" t="s">
        <v>1196</v>
      </c>
      <c r="O601" s="703">
        <f>+準備!G24</f>
        <v>1100</v>
      </c>
      <c r="P601" s="410"/>
      <c r="Q601" s="410"/>
      <c r="R601" s="410"/>
      <c r="S601" s="410"/>
      <c r="T601" s="147" t="s">
        <v>100</v>
      </c>
      <c r="U601" s="701"/>
      <c r="V601" s="63"/>
      <c r="W601" s="63"/>
      <c r="X601" s="63"/>
      <c r="Y601" s="63"/>
      <c r="Z601" s="63"/>
    </row>
    <row r="602" spans="1:26" hidden="1" x14ac:dyDescent="0.15">
      <c r="A602" s="63"/>
      <c r="B602" s="63"/>
      <c r="C602" s="63"/>
      <c r="D602" s="63"/>
      <c r="E602" s="63"/>
      <c r="F602" s="410">
        <v>90</v>
      </c>
      <c r="G602" s="410">
        <v>21</v>
      </c>
      <c r="H602" s="700"/>
      <c r="I602" s="410">
        <v>3</v>
      </c>
      <c r="J602" s="702" t="s">
        <v>262</v>
      </c>
      <c r="K602" s="703">
        <f>+準備!G28</f>
        <v>1400</v>
      </c>
      <c r="L602" s="410" t="e">
        <f>ROUND(K602*#REF!/100,1)</f>
        <v>#REF!</v>
      </c>
      <c r="M602" s="410">
        <v>3</v>
      </c>
      <c r="N602" s="410" t="s">
        <v>1197</v>
      </c>
      <c r="O602" s="703">
        <f>+準備!G28</f>
        <v>1400</v>
      </c>
      <c r="P602" s="410"/>
      <c r="Q602" s="410"/>
      <c r="R602" s="410"/>
      <c r="S602" s="410"/>
      <c r="T602" s="147" t="s">
        <v>350</v>
      </c>
      <c r="U602" s="701"/>
      <c r="V602" s="63"/>
      <c r="W602" s="63"/>
      <c r="X602" s="63"/>
      <c r="Y602" s="63"/>
      <c r="Z602" s="63"/>
    </row>
    <row r="603" spans="1:26" hidden="1" x14ac:dyDescent="0.15">
      <c r="A603" s="63"/>
      <c r="B603" s="63"/>
      <c r="C603" s="63"/>
      <c r="D603" s="63"/>
      <c r="E603" s="63"/>
      <c r="F603" s="63">
        <v>105</v>
      </c>
      <c r="G603" s="410">
        <v>24</v>
      </c>
      <c r="H603" s="410"/>
      <c r="I603" s="410"/>
      <c r="J603" s="702"/>
      <c r="K603" s="410"/>
      <c r="L603" s="410"/>
      <c r="M603" s="410">
        <v>4</v>
      </c>
      <c r="N603" s="410" t="s">
        <v>1198</v>
      </c>
      <c r="O603" s="703">
        <f>+準備!G32</f>
        <v>1750</v>
      </c>
      <c r="P603" s="410"/>
      <c r="Q603" s="410"/>
      <c r="R603" s="410"/>
      <c r="S603" s="410"/>
      <c r="T603" s="147" t="s">
        <v>351</v>
      </c>
      <c r="U603" s="701"/>
      <c r="V603" s="63"/>
      <c r="W603" s="63"/>
      <c r="X603" s="63"/>
      <c r="Y603" s="63"/>
      <c r="Z603" s="63"/>
    </row>
    <row r="604" spans="1:26" hidden="1" x14ac:dyDescent="0.15">
      <c r="A604" s="63"/>
      <c r="B604" s="63"/>
      <c r="C604" s="63"/>
      <c r="D604" s="63"/>
      <c r="E604" s="63"/>
      <c r="F604" s="63">
        <v>120</v>
      </c>
      <c r="G604" s="410">
        <v>30</v>
      </c>
      <c r="H604" s="410"/>
      <c r="I604" s="410"/>
      <c r="J604" s="702">
        <v>1</v>
      </c>
      <c r="K604" s="410"/>
      <c r="L604" s="410"/>
      <c r="M604" s="410">
        <v>5</v>
      </c>
      <c r="N604" s="410" t="s">
        <v>1199</v>
      </c>
      <c r="O604" s="703">
        <f>+準備!G36</f>
        <v>1750</v>
      </c>
      <c r="P604" s="410"/>
      <c r="Q604" s="410"/>
      <c r="R604" s="410"/>
      <c r="S604" s="410"/>
      <c r="T604" s="147" t="s">
        <v>352</v>
      </c>
      <c r="U604" s="410"/>
      <c r="V604" s="63"/>
      <c r="W604" s="63"/>
      <c r="X604" s="63"/>
      <c r="Y604" s="63"/>
      <c r="Z604" s="63"/>
    </row>
    <row r="605" spans="1:26" hidden="1" x14ac:dyDescent="0.15">
      <c r="A605" s="63"/>
      <c r="B605" s="63"/>
      <c r="C605" s="63"/>
      <c r="D605" s="63"/>
      <c r="E605" s="63"/>
      <c r="F605" s="63">
        <v>135</v>
      </c>
      <c r="G605" s="410">
        <v>40</v>
      </c>
      <c r="H605" s="410"/>
      <c r="I605" s="410"/>
      <c r="J605" s="700">
        <v>0.9</v>
      </c>
      <c r="K605" s="410"/>
      <c r="L605" s="410"/>
      <c r="M605" s="410">
        <v>6</v>
      </c>
      <c r="N605" s="702" t="s">
        <v>732</v>
      </c>
      <c r="O605" s="703">
        <f>+準備!G38</f>
        <v>400</v>
      </c>
      <c r="P605" s="410"/>
      <c r="Q605" s="410"/>
      <c r="R605" s="410"/>
      <c r="S605" s="410"/>
      <c r="T605" s="147" t="s">
        <v>353</v>
      </c>
      <c r="U605" s="410"/>
      <c r="V605" s="63"/>
      <c r="W605" s="63"/>
      <c r="X605" s="63"/>
      <c r="Y605" s="63"/>
      <c r="Z605" s="63"/>
    </row>
    <row r="606" spans="1:26" hidden="1" x14ac:dyDescent="0.15">
      <c r="A606" s="63"/>
      <c r="B606" s="63"/>
      <c r="C606" s="63"/>
      <c r="D606" s="63"/>
      <c r="E606" s="63"/>
      <c r="F606" s="63">
        <v>150</v>
      </c>
      <c r="G606" s="410">
        <v>45</v>
      </c>
      <c r="H606" s="410"/>
      <c r="I606" s="410"/>
      <c r="J606" s="702">
        <v>0.8</v>
      </c>
      <c r="K606" s="410"/>
      <c r="L606" s="410"/>
      <c r="M606" s="410"/>
      <c r="N606" s="410"/>
      <c r="O606" s="410"/>
      <c r="P606" s="410"/>
      <c r="Q606" s="410"/>
      <c r="R606" s="410"/>
      <c r="S606" s="410"/>
      <c r="T606" s="147" t="s">
        <v>354</v>
      </c>
      <c r="U606" s="410"/>
      <c r="V606" s="63"/>
      <c r="W606" s="63"/>
      <c r="X606" s="63"/>
      <c r="Y606" s="63"/>
      <c r="Z606" s="63"/>
    </row>
    <row r="607" spans="1:26" hidden="1" x14ac:dyDescent="0.15">
      <c r="A607" s="63"/>
      <c r="B607" s="63"/>
      <c r="C607" s="63"/>
      <c r="D607" s="63"/>
      <c r="E607" s="63"/>
      <c r="F607" s="63">
        <v>180</v>
      </c>
      <c r="G607" s="410">
        <v>60</v>
      </c>
      <c r="H607" s="410"/>
      <c r="I607" s="410"/>
      <c r="J607" s="702"/>
      <c r="K607" s="410"/>
      <c r="L607" s="410"/>
      <c r="M607" s="410"/>
      <c r="N607" s="410"/>
      <c r="O607" s="410"/>
      <c r="P607" s="410"/>
      <c r="Q607" s="410"/>
      <c r="R607" s="410"/>
      <c r="S607" s="410"/>
      <c r="T607" s="147" t="s">
        <v>355</v>
      </c>
      <c r="U607" s="410"/>
      <c r="V607" s="63"/>
      <c r="W607" s="63"/>
      <c r="X607" s="63"/>
      <c r="Y607" s="63"/>
      <c r="Z607" s="63"/>
    </row>
    <row r="608" spans="1:26" hidden="1" x14ac:dyDescent="0.15">
      <c r="A608" s="63"/>
      <c r="B608" s="63"/>
      <c r="C608" s="63"/>
      <c r="D608" s="63"/>
      <c r="E608" s="63"/>
      <c r="F608" s="63">
        <v>210</v>
      </c>
      <c r="G608" s="410">
        <v>75</v>
      </c>
      <c r="H608" s="700"/>
      <c r="I608" s="410"/>
      <c r="J608" s="702"/>
      <c r="K608" s="410"/>
      <c r="L608" s="410"/>
      <c r="M608" s="410"/>
      <c r="N608" s="410"/>
      <c r="O608" s="410"/>
      <c r="P608" s="410"/>
      <c r="Q608" s="410"/>
      <c r="R608" s="410"/>
      <c r="S608" s="410"/>
      <c r="T608" s="147" t="s">
        <v>356</v>
      </c>
      <c r="U608" s="410"/>
      <c r="V608" s="63"/>
      <c r="W608" s="63"/>
      <c r="X608" s="63"/>
      <c r="Y608" s="63"/>
      <c r="Z608" s="63"/>
    </row>
    <row r="609" spans="1:26" hidden="1" x14ac:dyDescent="0.15">
      <c r="A609" s="63"/>
      <c r="B609" s="63"/>
      <c r="C609" s="63"/>
      <c r="D609" s="63"/>
      <c r="E609" s="63"/>
      <c r="F609" s="63">
        <v>240</v>
      </c>
      <c r="G609" s="410">
        <v>90</v>
      </c>
      <c r="H609" s="700"/>
      <c r="I609" s="410"/>
      <c r="J609" s="410">
        <v>1</v>
      </c>
      <c r="K609" s="410">
        <v>2</v>
      </c>
      <c r="L609" s="410">
        <v>3</v>
      </c>
      <c r="M609" s="410"/>
      <c r="N609" s="410"/>
      <c r="O609" s="410"/>
      <c r="P609" s="410"/>
      <c r="Q609" s="410"/>
      <c r="R609" s="410"/>
      <c r="S609" s="410"/>
      <c r="T609" s="147" t="s">
        <v>357</v>
      </c>
      <c r="U609" s="410"/>
      <c r="V609" s="63"/>
      <c r="W609" s="63"/>
      <c r="X609" s="63"/>
      <c r="Y609" s="63"/>
      <c r="Z609" s="63"/>
    </row>
    <row r="610" spans="1:26" hidden="1" x14ac:dyDescent="0.15">
      <c r="A610" s="63"/>
      <c r="B610" s="63"/>
      <c r="C610" s="63"/>
      <c r="D610" s="63"/>
      <c r="E610" s="63"/>
      <c r="F610" s="63">
        <v>270</v>
      </c>
      <c r="G610" s="410">
        <v>105</v>
      </c>
      <c r="H610" s="700"/>
      <c r="I610" s="651">
        <v>1</v>
      </c>
      <c r="J610" s="701"/>
      <c r="K610" s="701">
        <v>300</v>
      </c>
      <c r="L610" s="701"/>
      <c r="M610" s="701"/>
      <c r="N610" s="410"/>
      <c r="O610" s="410"/>
      <c r="P610" s="410"/>
      <c r="Q610" s="410"/>
      <c r="R610" s="410"/>
      <c r="S610" s="410"/>
      <c r="T610" s="147" t="s">
        <v>358</v>
      </c>
      <c r="U610" s="410"/>
      <c r="V610" s="63"/>
      <c r="W610" s="63"/>
      <c r="X610" s="63"/>
      <c r="Y610" s="63"/>
      <c r="Z610" s="63"/>
    </row>
    <row r="611" spans="1:26" hidden="1" x14ac:dyDescent="0.15">
      <c r="A611" s="63"/>
      <c r="B611" s="63"/>
      <c r="C611" s="63"/>
      <c r="D611" s="63"/>
      <c r="E611" s="63"/>
      <c r="F611" s="63">
        <v>300</v>
      </c>
      <c r="G611" s="410">
        <v>120</v>
      </c>
      <c r="H611" s="700"/>
      <c r="I611" s="651">
        <v>2</v>
      </c>
      <c r="J611" s="701">
        <v>200</v>
      </c>
      <c r="K611" s="701">
        <v>200</v>
      </c>
      <c r="L611" s="701">
        <v>150</v>
      </c>
      <c r="M611" s="701"/>
      <c r="N611" s="410"/>
      <c r="O611" s="410"/>
      <c r="P611" s="410"/>
      <c r="Q611" s="410"/>
      <c r="R611" s="410"/>
      <c r="S611" s="410"/>
      <c r="T611" s="147" t="s">
        <v>359</v>
      </c>
      <c r="U611" s="410"/>
      <c r="V611" s="63"/>
      <c r="W611" s="63"/>
      <c r="X611" s="63"/>
      <c r="Y611" s="63"/>
      <c r="Z611" s="63"/>
    </row>
    <row r="612" spans="1:26" hidden="1" x14ac:dyDescent="0.15">
      <c r="A612" s="63"/>
      <c r="B612" s="63"/>
      <c r="C612" s="63"/>
      <c r="D612" s="63"/>
      <c r="E612" s="63"/>
      <c r="F612" s="63">
        <v>330</v>
      </c>
      <c r="G612" s="410">
        <v>135</v>
      </c>
      <c r="H612" s="700"/>
      <c r="I612" s="651">
        <v>3</v>
      </c>
      <c r="J612" s="701">
        <v>200</v>
      </c>
      <c r="K612" s="701">
        <v>200</v>
      </c>
      <c r="L612" s="701">
        <v>150</v>
      </c>
      <c r="M612" s="701"/>
      <c r="N612" s="410"/>
      <c r="O612" s="410"/>
      <c r="P612" s="410"/>
      <c r="Q612" s="410"/>
      <c r="R612" s="410"/>
      <c r="S612" s="410"/>
      <c r="T612" s="147" t="s">
        <v>360</v>
      </c>
      <c r="U612" s="410"/>
      <c r="V612" s="63"/>
      <c r="W612" s="63"/>
      <c r="X612" s="63"/>
      <c r="Y612" s="63"/>
      <c r="Z612" s="63"/>
    </row>
    <row r="613" spans="1:26" hidden="1" x14ac:dyDescent="0.15">
      <c r="A613" s="63"/>
      <c r="B613" s="63"/>
      <c r="C613" s="63"/>
      <c r="D613" s="63"/>
      <c r="E613" s="63"/>
      <c r="F613" s="63">
        <v>360</v>
      </c>
      <c r="G613" s="410">
        <v>150</v>
      </c>
      <c r="H613" s="700"/>
      <c r="I613" s="651">
        <v>4</v>
      </c>
      <c r="J613" s="701">
        <v>200</v>
      </c>
      <c r="K613" s="701">
        <v>200</v>
      </c>
      <c r="L613" s="701">
        <v>150</v>
      </c>
      <c r="M613" s="701"/>
      <c r="N613" s="410"/>
      <c r="O613" s="410"/>
      <c r="P613" s="410"/>
      <c r="Q613" s="704"/>
      <c r="R613" s="704"/>
      <c r="S613" s="704"/>
      <c r="T613" s="147" t="s">
        <v>361</v>
      </c>
      <c r="U613" s="704"/>
      <c r="V613" s="73"/>
      <c r="W613" s="63"/>
      <c r="X613" s="63"/>
      <c r="Y613" s="63"/>
      <c r="Z613" s="63"/>
    </row>
    <row r="614" spans="1:26" hidden="1" x14ac:dyDescent="0.15">
      <c r="A614" s="63"/>
      <c r="B614" s="63"/>
      <c r="C614" s="63"/>
      <c r="D614" s="63"/>
      <c r="E614" s="63"/>
      <c r="F614" s="63">
        <v>390</v>
      </c>
      <c r="G614" s="410">
        <v>180</v>
      </c>
      <c r="H614" s="700"/>
      <c r="I614" s="651">
        <v>5</v>
      </c>
      <c r="J614" s="701"/>
      <c r="K614" s="701">
        <v>300</v>
      </c>
      <c r="L614" s="701"/>
      <c r="M614" s="701"/>
      <c r="N614" s="410"/>
      <c r="O614" s="410"/>
      <c r="P614" s="410"/>
      <c r="Q614" s="704"/>
      <c r="R614" s="705"/>
      <c r="S614" s="705"/>
      <c r="T614" s="147" t="s">
        <v>362</v>
      </c>
      <c r="U614" s="705"/>
      <c r="V614" s="97"/>
      <c r="W614" s="63"/>
      <c r="X614" s="63"/>
      <c r="Y614" s="63"/>
      <c r="Z614" s="63"/>
    </row>
    <row r="615" spans="1:26" hidden="1" x14ac:dyDescent="0.15">
      <c r="A615" s="63"/>
      <c r="B615" s="63"/>
      <c r="C615" s="63"/>
      <c r="D615" s="63"/>
      <c r="E615" s="63"/>
      <c r="F615" s="63">
        <v>420</v>
      </c>
      <c r="G615" s="410">
        <v>210</v>
      </c>
      <c r="H615" s="700"/>
      <c r="I615" s="651">
        <v>6</v>
      </c>
      <c r="J615" s="701">
        <v>200</v>
      </c>
      <c r="K615" s="701">
        <v>200</v>
      </c>
      <c r="L615" s="701">
        <v>150</v>
      </c>
      <c r="M615" s="701"/>
      <c r="N615" s="410"/>
      <c r="O615" s="410"/>
      <c r="P615" s="410"/>
      <c r="Q615" s="410"/>
      <c r="R615" s="410"/>
      <c r="S615" s="410"/>
      <c r="T615" s="147" t="s">
        <v>363</v>
      </c>
      <c r="U615" s="410"/>
      <c r="V615" s="63"/>
      <c r="W615" s="63"/>
      <c r="X615" s="63"/>
      <c r="Y615" s="63"/>
      <c r="Z615" s="63"/>
    </row>
    <row r="616" spans="1:26" hidden="1" x14ac:dyDescent="0.15">
      <c r="A616" s="63"/>
      <c r="B616" s="63"/>
      <c r="C616" s="63"/>
      <c r="D616" s="63"/>
      <c r="E616" s="63"/>
      <c r="F616" s="63">
        <v>450</v>
      </c>
      <c r="G616" s="410">
        <v>240</v>
      </c>
      <c r="H616" s="700"/>
      <c r="I616" s="651">
        <v>7</v>
      </c>
      <c r="J616" s="701">
        <v>200</v>
      </c>
      <c r="K616" s="701">
        <v>200</v>
      </c>
      <c r="L616" s="701">
        <v>150</v>
      </c>
      <c r="M616" s="701"/>
      <c r="N616" s="410"/>
      <c r="O616" s="410"/>
      <c r="P616" s="410"/>
      <c r="Q616" s="410"/>
      <c r="R616" s="410"/>
      <c r="S616" s="410"/>
      <c r="T616" s="147" t="s">
        <v>364</v>
      </c>
      <c r="U616" s="410"/>
      <c r="V616" s="63"/>
      <c r="W616" s="63"/>
      <c r="X616" s="63"/>
      <c r="Y616" s="63"/>
      <c r="Z616" s="63"/>
    </row>
    <row r="617" spans="1:26" hidden="1" x14ac:dyDescent="0.15">
      <c r="A617" s="63"/>
      <c r="B617" s="63"/>
      <c r="C617" s="63"/>
      <c r="D617" s="63"/>
      <c r="E617" s="63"/>
      <c r="F617" s="63">
        <f t="shared" ref="F617:F622" si="346">+F616+30</f>
        <v>480</v>
      </c>
      <c r="G617" s="410"/>
      <c r="H617" s="700"/>
      <c r="I617" s="651">
        <v>8</v>
      </c>
      <c r="J617" s="701">
        <v>300</v>
      </c>
      <c r="K617" s="701">
        <v>300</v>
      </c>
      <c r="L617" s="701">
        <v>225</v>
      </c>
      <c r="M617" s="701"/>
      <c r="N617" s="410"/>
      <c r="O617" s="410"/>
      <c r="P617" s="410"/>
      <c r="Q617" s="410"/>
      <c r="R617" s="410"/>
      <c r="S617" s="410"/>
      <c r="T617" s="147" t="s">
        <v>365</v>
      </c>
      <c r="U617" s="410"/>
      <c r="V617" s="63"/>
      <c r="W617" s="63"/>
      <c r="X617" s="63"/>
      <c r="Y617" s="63"/>
      <c r="Z617" s="63"/>
    </row>
    <row r="618" spans="1:26" hidden="1" x14ac:dyDescent="0.15">
      <c r="A618" s="63"/>
      <c r="B618" s="63"/>
      <c r="C618" s="63"/>
      <c r="D618" s="63"/>
      <c r="E618" s="63"/>
      <c r="F618" s="63">
        <f t="shared" si="346"/>
        <v>510</v>
      </c>
      <c r="G618" s="410"/>
      <c r="H618" s="700"/>
      <c r="I618" s="651">
        <v>9</v>
      </c>
      <c r="J618" s="701">
        <v>300</v>
      </c>
      <c r="K618" s="701">
        <v>300</v>
      </c>
      <c r="L618" s="701">
        <v>225</v>
      </c>
      <c r="M618" s="701"/>
      <c r="N618" s="410"/>
      <c r="O618" s="410"/>
      <c r="P618" s="410"/>
      <c r="Q618" s="410"/>
      <c r="R618" s="410"/>
      <c r="S618" s="410"/>
      <c r="T618" s="147" t="s">
        <v>366</v>
      </c>
      <c r="U618" s="410"/>
      <c r="V618" s="63"/>
      <c r="W618" s="63"/>
      <c r="X618" s="63"/>
      <c r="Y618" s="63"/>
      <c r="Z618" s="63"/>
    </row>
    <row r="619" spans="1:26" hidden="1" x14ac:dyDescent="0.15">
      <c r="A619" s="63"/>
      <c r="B619" s="63"/>
      <c r="C619" s="63"/>
      <c r="D619" s="63"/>
      <c r="E619" s="63"/>
      <c r="F619" s="63">
        <f t="shared" si="346"/>
        <v>540</v>
      </c>
      <c r="G619" s="410"/>
      <c r="H619" s="700"/>
      <c r="I619" s="410"/>
      <c r="J619" s="410"/>
      <c r="K619" s="410"/>
      <c r="L619" s="410"/>
      <c r="M619" s="410"/>
      <c r="N619" s="410"/>
      <c r="O619" s="410"/>
      <c r="P619" s="410"/>
      <c r="Q619" s="410"/>
      <c r="R619" s="410"/>
      <c r="S619" s="410"/>
      <c r="T619" s="147" t="s">
        <v>367</v>
      </c>
      <c r="U619" s="410"/>
      <c r="V619" s="63"/>
      <c r="W619" s="63"/>
      <c r="X619" s="63"/>
      <c r="Y619" s="63"/>
      <c r="Z619" s="63"/>
    </row>
    <row r="620" spans="1:26" hidden="1" x14ac:dyDescent="0.15">
      <c r="A620" s="63"/>
      <c r="B620" s="63"/>
      <c r="C620" s="63"/>
      <c r="D620" s="63"/>
      <c r="E620" s="63"/>
      <c r="F620" s="63">
        <f t="shared" si="346"/>
        <v>570</v>
      </c>
      <c r="G620" s="410"/>
      <c r="H620" s="700"/>
      <c r="I620" s="410"/>
      <c r="J620" s="410"/>
      <c r="K620" s="410"/>
      <c r="L620" s="410"/>
      <c r="M620" s="410"/>
      <c r="N620" s="410"/>
      <c r="O620" s="410"/>
      <c r="P620" s="410"/>
      <c r="Q620" s="410"/>
      <c r="R620" s="410"/>
      <c r="S620" s="410"/>
      <c r="T620" s="147" t="s">
        <v>368</v>
      </c>
      <c r="U620" s="410"/>
      <c r="V620" s="63"/>
      <c r="W620" s="63"/>
      <c r="X620" s="63"/>
      <c r="Y620" s="63"/>
      <c r="Z620" s="63"/>
    </row>
    <row r="621" spans="1:26" hidden="1" x14ac:dyDescent="0.15">
      <c r="A621" s="63"/>
      <c r="B621" s="63"/>
      <c r="C621" s="63"/>
      <c r="D621" s="63"/>
      <c r="E621" s="63"/>
      <c r="F621" s="63">
        <f t="shared" si="346"/>
        <v>600</v>
      </c>
      <c r="G621" s="410"/>
      <c r="H621" s="700"/>
      <c r="I621" s="410"/>
      <c r="J621" s="706">
        <v>1</v>
      </c>
      <c r="K621" s="410"/>
      <c r="L621" s="410"/>
      <c r="M621" s="410"/>
      <c r="N621" s="410"/>
      <c r="O621" s="410"/>
      <c r="P621" s="410"/>
      <c r="Q621" s="410"/>
      <c r="R621" s="410"/>
      <c r="S621" s="410"/>
      <c r="T621" s="147" t="s">
        <v>369</v>
      </c>
      <c r="U621" s="410"/>
      <c r="V621" s="73"/>
      <c r="W621" s="63"/>
      <c r="X621" s="63"/>
      <c r="Y621" s="63"/>
      <c r="Z621" s="63"/>
    </row>
    <row r="622" spans="1:26" hidden="1" x14ac:dyDescent="0.15">
      <c r="A622" s="63"/>
      <c r="B622" s="63"/>
      <c r="C622" s="63"/>
      <c r="D622" s="63"/>
      <c r="E622" s="63"/>
      <c r="F622" s="63">
        <f t="shared" si="346"/>
        <v>630</v>
      </c>
      <c r="G622" s="410"/>
      <c r="H622" s="700"/>
      <c r="I622" s="410"/>
      <c r="J622" s="410">
        <v>2</v>
      </c>
      <c r="K622" s="410"/>
      <c r="L622" s="410"/>
      <c r="M622" s="410"/>
      <c r="N622" s="410"/>
      <c r="O622" s="410"/>
      <c r="P622" s="410"/>
      <c r="Q622" s="410"/>
      <c r="R622" s="410"/>
      <c r="S622" s="410"/>
      <c r="T622" s="147" t="s">
        <v>370</v>
      </c>
      <c r="U622" s="410"/>
      <c r="V622" s="73"/>
      <c r="W622" s="63"/>
      <c r="X622" s="63"/>
      <c r="Y622" s="63"/>
      <c r="Z622" s="63"/>
    </row>
    <row r="623" spans="1:26" hidden="1" x14ac:dyDescent="0.15">
      <c r="A623" s="63"/>
      <c r="B623" s="63"/>
      <c r="C623" s="63"/>
      <c r="D623" s="63"/>
      <c r="E623" s="63"/>
      <c r="F623" s="63">
        <v>0</v>
      </c>
      <c r="G623" s="410"/>
      <c r="H623" s="700"/>
      <c r="I623" s="410"/>
      <c r="J623" s="707" t="s">
        <v>422</v>
      </c>
      <c r="K623" s="410"/>
      <c r="L623" s="410"/>
      <c r="M623" s="410"/>
      <c r="N623" s="410"/>
      <c r="O623" s="410"/>
      <c r="P623" s="410"/>
      <c r="Q623" s="410"/>
      <c r="R623" s="410"/>
      <c r="S623" s="410"/>
      <c r="T623" s="147" t="s">
        <v>371</v>
      </c>
      <c r="U623" s="410"/>
      <c r="V623" s="73"/>
      <c r="W623" s="63"/>
      <c r="X623" s="63"/>
      <c r="Y623" s="63"/>
      <c r="Z623" s="63"/>
    </row>
    <row r="624" spans="1:26" hidden="1" x14ac:dyDescent="0.15">
      <c r="A624" s="63"/>
      <c r="B624" s="63"/>
      <c r="C624" s="63">
        <v>1</v>
      </c>
      <c r="D624" s="73" t="s">
        <v>245</v>
      </c>
      <c r="E624" s="73">
        <v>500</v>
      </c>
      <c r="F624" s="73">
        <f>+F623</f>
        <v>0</v>
      </c>
      <c r="G624" s="704">
        <f t="shared" ref="G624:G629" si="347">SUM(E624:F624)</f>
        <v>500</v>
      </c>
      <c r="H624" s="700"/>
      <c r="I624" s="410"/>
      <c r="J624" s="410" t="s">
        <v>215</v>
      </c>
      <c r="K624" s="410"/>
      <c r="L624" s="410"/>
      <c r="M624" s="410"/>
      <c r="N624" s="410"/>
      <c r="O624" s="410"/>
      <c r="P624" s="410"/>
      <c r="Q624" s="410"/>
      <c r="R624" s="410"/>
      <c r="S624" s="410"/>
      <c r="T624" s="147" t="s">
        <v>372</v>
      </c>
      <c r="U624" s="410"/>
      <c r="V624" s="73"/>
      <c r="W624" s="63"/>
      <c r="X624" s="63"/>
      <c r="Y624" s="63"/>
      <c r="Z624" s="63"/>
    </row>
    <row r="625" spans="1:26" hidden="1" x14ac:dyDescent="0.15">
      <c r="A625" s="63"/>
      <c r="B625" s="63"/>
      <c r="C625" s="63">
        <v>2</v>
      </c>
      <c r="D625" s="73" t="s">
        <v>247</v>
      </c>
      <c r="E625" s="73">
        <v>600</v>
      </c>
      <c r="F625" s="73">
        <f>+F623</f>
        <v>0</v>
      </c>
      <c r="G625" s="704">
        <f t="shared" si="347"/>
        <v>600</v>
      </c>
      <c r="H625" s="700"/>
      <c r="I625" s="410"/>
      <c r="J625" s="410" t="s">
        <v>213</v>
      </c>
      <c r="K625" s="410"/>
      <c r="L625" s="410"/>
      <c r="M625" s="410"/>
      <c r="N625" s="410"/>
      <c r="O625" s="410"/>
      <c r="P625" s="410"/>
      <c r="Q625" s="410"/>
      <c r="R625" s="410"/>
      <c r="S625" s="410"/>
      <c r="T625" s="147" t="s">
        <v>373</v>
      </c>
      <c r="U625" s="410"/>
      <c r="V625" s="73"/>
      <c r="W625" s="63"/>
      <c r="X625" s="63"/>
      <c r="Y625" s="63"/>
      <c r="Z625" s="63"/>
    </row>
    <row r="626" spans="1:26" hidden="1" x14ac:dyDescent="0.15">
      <c r="A626" s="63"/>
      <c r="B626" s="63"/>
      <c r="C626" s="63">
        <v>3</v>
      </c>
      <c r="D626" s="73" t="s">
        <v>246</v>
      </c>
      <c r="E626" s="73">
        <v>500</v>
      </c>
      <c r="F626" s="73">
        <f>+F623</f>
        <v>0</v>
      </c>
      <c r="G626" s="704">
        <f t="shared" si="347"/>
        <v>500</v>
      </c>
      <c r="H626" s="700"/>
      <c r="I626" s="410"/>
      <c r="J626" s="410" t="s">
        <v>214</v>
      </c>
      <c r="K626" s="410"/>
      <c r="L626" s="410"/>
      <c r="M626" s="410"/>
      <c r="N626" s="410"/>
      <c r="O626" s="410"/>
      <c r="P626" s="410"/>
      <c r="Q626" s="410"/>
      <c r="R626" s="410"/>
      <c r="S626" s="410"/>
      <c r="T626" s="147" t="s">
        <v>374</v>
      </c>
      <c r="U626" s="410"/>
      <c r="V626" s="73"/>
      <c r="W626" s="63"/>
      <c r="X626" s="63"/>
      <c r="Y626" s="63"/>
      <c r="Z626" s="63"/>
    </row>
    <row r="627" spans="1:26" hidden="1" x14ac:dyDescent="0.15">
      <c r="A627" s="63"/>
      <c r="B627" s="63"/>
      <c r="C627" s="63">
        <v>4</v>
      </c>
      <c r="D627" s="73" t="s">
        <v>248</v>
      </c>
      <c r="E627" s="73">
        <v>700</v>
      </c>
      <c r="F627" s="73">
        <f>+F623</f>
        <v>0</v>
      </c>
      <c r="G627" s="704">
        <f t="shared" si="347"/>
        <v>700</v>
      </c>
      <c r="H627" s="700"/>
      <c r="I627" s="410"/>
      <c r="J627" s="410"/>
      <c r="K627" s="410"/>
      <c r="L627" s="410"/>
      <c r="M627" s="410"/>
      <c r="N627" s="410"/>
      <c r="O627" s="410"/>
      <c r="P627" s="410"/>
      <c r="Q627" s="410"/>
      <c r="R627" s="410"/>
      <c r="S627" s="410"/>
      <c r="T627" s="147" t="s">
        <v>375</v>
      </c>
      <c r="U627" s="410"/>
      <c r="V627" s="63"/>
      <c r="W627" s="63"/>
      <c r="X627" s="63"/>
      <c r="Y627" s="63"/>
      <c r="Z627" s="63"/>
    </row>
    <row r="628" spans="1:26" hidden="1" x14ac:dyDescent="0.15">
      <c r="A628" s="63"/>
      <c r="B628" s="63"/>
      <c r="C628" s="63">
        <v>5</v>
      </c>
      <c r="D628" s="73" t="s">
        <v>248</v>
      </c>
      <c r="E628" s="73">
        <v>700</v>
      </c>
      <c r="F628" s="73">
        <f>+F623</f>
        <v>0</v>
      </c>
      <c r="G628" s="704">
        <f t="shared" si="347"/>
        <v>700</v>
      </c>
      <c r="H628" s="700"/>
      <c r="I628" s="410"/>
      <c r="J628" s="410"/>
      <c r="K628" s="410"/>
      <c r="L628" s="410"/>
      <c r="M628" s="410"/>
      <c r="N628" s="410"/>
      <c r="O628" s="410"/>
      <c r="P628" s="410"/>
      <c r="Q628" s="410"/>
      <c r="R628" s="410"/>
      <c r="S628" s="410"/>
      <c r="T628" s="147" t="s">
        <v>376</v>
      </c>
      <c r="U628" s="410"/>
      <c r="V628" s="63"/>
      <c r="W628" s="63"/>
      <c r="X628" s="63"/>
      <c r="Y628" s="63"/>
      <c r="Z628" s="63"/>
    </row>
    <row r="629" spans="1:26" hidden="1" x14ac:dyDescent="0.15">
      <c r="A629" s="63"/>
      <c r="B629" s="63"/>
      <c r="C629" s="63">
        <v>6</v>
      </c>
      <c r="D629" s="73" t="s">
        <v>248</v>
      </c>
      <c r="E629" s="73">
        <v>700</v>
      </c>
      <c r="F629" s="73">
        <f>+F623</f>
        <v>0</v>
      </c>
      <c r="G629" s="704">
        <f t="shared" si="347"/>
        <v>700</v>
      </c>
      <c r="H629" s="700"/>
      <c r="I629" s="410"/>
      <c r="J629" s="410"/>
      <c r="K629" s="410"/>
      <c r="L629" s="410"/>
      <c r="M629" s="410"/>
      <c r="N629" s="410"/>
      <c r="O629" s="410"/>
      <c r="P629" s="410"/>
      <c r="Q629" s="410"/>
      <c r="R629" s="410"/>
      <c r="S629" s="410"/>
      <c r="T629" s="147" t="s">
        <v>377</v>
      </c>
      <c r="U629" s="410"/>
      <c r="V629" s="63"/>
      <c r="W629" s="63"/>
      <c r="X629" s="63"/>
      <c r="Y629" s="63"/>
      <c r="Z629" s="63"/>
    </row>
    <row r="630" spans="1:26" hidden="1" x14ac:dyDescent="0.15">
      <c r="A630" s="63"/>
      <c r="B630" s="63"/>
      <c r="C630" s="63"/>
      <c r="D630" s="63"/>
      <c r="E630" s="63"/>
      <c r="F630" s="63"/>
      <c r="G630" s="410"/>
      <c r="H630" s="700"/>
      <c r="I630" s="410"/>
      <c r="J630" s="410"/>
      <c r="K630" s="410"/>
      <c r="L630" s="410"/>
      <c r="M630" s="410"/>
      <c r="N630" s="410"/>
      <c r="O630" s="410"/>
      <c r="P630" s="410"/>
      <c r="Q630" s="410"/>
      <c r="R630" s="410"/>
      <c r="S630" s="410"/>
      <c r="T630" s="147" t="s">
        <v>378</v>
      </c>
      <c r="U630" s="410"/>
      <c r="V630" s="63"/>
      <c r="W630" s="63"/>
      <c r="X630" s="63"/>
      <c r="Y630" s="63"/>
      <c r="Z630" s="63"/>
    </row>
    <row r="631" spans="1:26" hidden="1" x14ac:dyDescent="0.15">
      <c r="A631" s="63"/>
      <c r="B631" s="63"/>
      <c r="C631" s="63"/>
      <c r="D631" s="63"/>
      <c r="E631" s="63"/>
      <c r="F631" s="63"/>
      <c r="G631" s="410"/>
      <c r="H631" s="700"/>
      <c r="I631" s="410"/>
      <c r="J631" s="410"/>
      <c r="K631" s="410"/>
      <c r="L631" s="410"/>
      <c r="M631" s="410"/>
      <c r="N631" s="410"/>
      <c r="O631" s="410"/>
      <c r="P631" s="410"/>
      <c r="Q631" s="410"/>
      <c r="R631" s="410"/>
      <c r="S631" s="410"/>
      <c r="T631" s="147" t="s">
        <v>101</v>
      </c>
      <c r="U631" s="410"/>
      <c r="V631" s="63"/>
      <c r="W631" s="63"/>
      <c r="X631" s="63"/>
      <c r="Y631" s="63"/>
      <c r="Z631" s="63"/>
    </row>
    <row r="632" spans="1:26" hidden="1" x14ac:dyDescent="0.15">
      <c r="A632" s="63"/>
      <c r="B632" s="63"/>
      <c r="C632" s="63"/>
      <c r="D632" s="63">
        <v>1</v>
      </c>
      <c r="E632" s="63">
        <v>2</v>
      </c>
      <c r="F632" s="63">
        <v>3</v>
      </c>
      <c r="G632" s="410"/>
      <c r="H632" s="700"/>
      <c r="I632" s="410"/>
      <c r="J632" s="410"/>
      <c r="K632" s="410"/>
      <c r="L632" s="410"/>
      <c r="M632" s="410"/>
      <c r="N632" s="410"/>
      <c r="O632" s="410"/>
      <c r="P632" s="410"/>
      <c r="Q632" s="410"/>
      <c r="R632" s="410"/>
      <c r="S632" s="410"/>
      <c r="T632" s="147" t="s">
        <v>379</v>
      </c>
      <c r="U632" s="410"/>
      <c r="V632" s="63"/>
      <c r="W632" s="63"/>
      <c r="X632" s="63"/>
      <c r="Y632" s="63"/>
      <c r="Z632" s="63"/>
    </row>
    <row r="633" spans="1:26" hidden="1" x14ac:dyDescent="0.15">
      <c r="A633" s="63"/>
      <c r="B633" s="63"/>
      <c r="C633" s="80">
        <v>1</v>
      </c>
      <c r="D633" s="81"/>
      <c r="E633" s="81">
        <v>300</v>
      </c>
      <c r="F633" s="81"/>
      <c r="G633" s="410"/>
      <c r="H633" s="700"/>
      <c r="I633" s="410"/>
      <c r="J633" s="410"/>
      <c r="K633" s="410"/>
      <c r="L633" s="410"/>
      <c r="M633" s="410"/>
      <c r="N633" s="410"/>
      <c r="O633" s="410"/>
      <c r="P633" s="410"/>
      <c r="Q633" s="410"/>
      <c r="R633" s="410"/>
      <c r="S633" s="410"/>
      <c r="T633" s="137" t="s">
        <v>102</v>
      </c>
      <c r="U633" s="410"/>
      <c r="V633" s="63"/>
      <c r="W633" s="63"/>
      <c r="X633" s="63"/>
      <c r="Y633" s="63"/>
      <c r="Z633" s="63"/>
    </row>
    <row r="634" spans="1:26" hidden="1" x14ac:dyDescent="0.15">
      <c r="A634" s="63"/>
      <c r="B634" s="63"/>
      <c r="C634" s="80">
        <v>2</v>
      </c>
      <c r="D634" s="81">
        <v>200</v>
      </c>
      <c r="E634" s="81">
        <v>200</v>
      </c>
      <c r="F634" s="81">
        <v>150</v>
      </c>
      <c r="G634" s="410"/>
      <c r="H634" s="700"/>
      <c r="I634" s="410"/>
      <c r="J634" s="410"/>
      <c r="K634" s="410"/>
      <c r="L634" s="410"/>
      <c r="M634" s="410"/>
      <c r="N634" s="410"/>
      <c r="O634" s="410"/>
      <c r="P634" s="410"/>
      <c r="Q634" s="410"/>
      <c r="R634" s="410"/>
      <c r="S634" s="410"/>
      <c r="T634" s="137" t="s">
        <v>103</v>
      </c>
      <c r="U634" s="410"/>
      <c r="V634" s="63"/>
      <c r="W634" s="63"/>
      <c r="X634" s="63"/>
      <c r="Y634" s="63"/>
      <c r="Z634" s="63"/>
    </row>
    <row r="635" spans="1:26" hidden="1" x14ac:dyDescent="0.15">
      <c r="A635" s="63"/>
      <c r="B635" s="63"/>
      <c r="C635" s="80">
        <v>3</v>
      </c>
      <c r="D635" s="81">
        <v>200</v>
      </c>
      <c r="E635" s="81">
        <v>200</v>
      </c>
      <c r="F635" s="81">
        <v>150</v>
      </c>
      <c r="G635" s="410"/>
      <c r="H635" s="700"/>
      <c r="I635" s="410"/>
      <c r="J635" s="410"/>
      <c r="K635" s="410"/>
      <c r="L635" s="410"/>
      <c r="M635" s="410"/>
      <c r="N635" s="410"/>
      <c r="O635" s="410"/>
      <c r="P635" s="410"/>
      <c r="Q635" s="410"/>
      <c r="R635" s="410"/>
      <c r="S635" s="410"/>
      <c r="T635" s="137" t="s">
        <v>104</v>
      </c>
      <c r="U635" s="410"/>
      <c r="V635" s="63"/>
      <c r="W635" s="63"/>
      <c r="X635" s="63"/>
      <c r="Y635" s="63"/>
      <c r="Z635" s="63"/>
    </row>
    <row r="636" spans="1:26" hidden="1" x14ac:dyDescent="0.15">
      <c r="A636" s="63"/>
      <c r="B636" s="63"/>
      <c r="C636" s="80">
        <v>4</v>
      </c>
      <c r="D636" s="81">
        <v>200</v>
      </c>
      <c r="E636" s="81">
        <v>200</v>
      </c>
      <c r="F636" s="81">
        <v>150</v>
      </c>
      <c r="G636" s="410"/>
      <c r="H636" s="700"/>
      <c r="I636" s="651" t="s">
        <v>110</v>
      </c>
      <c r="J636" s="651"/>
      <c r="K636" s="708" t="s">
        <v>159</v>
      </c>
      <c r="L636" s="410"/>
      <c r="M636" s="410"/>
      <c r="N636" s="410"/>
      <c r="O636" s="700" t="s">
        <v>23</v>
      </c>
      <c r="P636" s="410"/>
      <c r="Q636" s="410"/>
      <c r="R636" s="410"/>
      <c r="S636" s="410"/>
      <c r="T636" s="137" t="s">
        <v>105</v>
      </c>
      <c r="U636" s="410"/>
      <c r="V636" s="63"/>
      <c r="W636" s="63"/>
      <c r="X636" s="63"/>
      <c r="Y636" s="63"/>
      <c r="Z636" s="63"/>
    </row>
    <row r="637" spans="1:26" hidden="1" x14ac:dyDescent="0.15">
      <c r="A637" s="63"/>
      <c r="B637" s="63"/>
      <c r="C637" s="80">
        <v>5</v>
      </c>
      <c r="D637" s="81"/>
      <c r="E637" s="81">
        <v>300</v>
      </c>
      <c r="F637" s="81"/>
      <c r="G637" s="410"/>
      <c r="H637" s="700"/>
      <c r="I637" s="651" t="s">
        <v>112</v>
      </c>
      <c r="J637" s="651"/>
      <c r="K637" s="708" t="s">
        <v>160</v>
      </c>
      <c r="L637" s="410"/>
      <c r="M637" s="410"/>
      <c r="N637" s="410"/>
      <c r="O637" s="700" t="s">
        <v>24</v>
      </c>
      <c r="P637" s="410"/>
      <c r="Q637" s="410"/>
      <c r="R637" s="410"/>
      <c r="S637" s="410"/>
      <c r="T637" s="137" t="s">
        <v>380</v>
      </c>
      <c r="U637" s="410"/>
      <c r="V637" s="63"/>
      <c r="W637" s="63"/>
      <c r="X637" s="63"/>
      <c r="Y637" s="63"/>
      <c r="Z637" s="63"/>
    </row>
    <row r="638" spans="1:26" hidden="1" x14ac:dyDescent="0.15">
      <c r="A638" s="63"/>
      <c r="B638" s="63"/>
      <c r="C638" s="80">
        <v>6</v>
      </c>
      <c r="D638" s="81">
        <v>400</v>
      </c>
      <c r="E638" s="81">
        <v>400</v>
      </c>
      <c r="F638" s="81">
        <v>200</v>
      </c>
      <c r="G638" s="410"/>
      <c r="H638" s="700"/>
      <c r="I638" s="651" t="s">
        <v>114</v>
      </c>
      <c r="J638" s="651"/>
      <c r="K638" s="410"/>
      <c r="L638" s="410"/>
      <c r="M638" s="410"/>
      <c r="N638" s="410"/>
      <c r="O638" s="700" t="s">
        <v>25</v>
      </c>
      <c r="P638" s="410"/>
      <c r="Q638" s="410"/>
      <c r="R638" s="410"/>
      <c r="S638" s="410"/>
      <c r="T638" s="137" t="s">
        <v>106</v>
      </c>
      <c r="U638" s="410"/>
      <c r="V638" s="63"/>
      <c r="W638" s="63"/>
      <c r="X638" s="63"/>
      <c r="Y638" s="63"/>
      <c r="Z638" s="63"/>
    </row>
    <row r="639" spans="1:26" hidden="1" x14ac:dyDescent="0.15">
      <c r="A639" s="63"/>
      <c r="B639" s="63"/>
      <c r="C639" s="80">
        <v>7</v>
      </c>
      <c r="D639" s="81">
        <v>200</v>
      </c>
      <c r="E639" s="81">
        <v>200</v>
      </c>
      <c r="F639" s="81">
        <v>150</v>
      </c>
      <c r="G639" s="410"/>
      <c r="H639" s="700"/>
      <c r="I639" s="651" t="s">
        <v>116</v>
      </c>
      <c r="J639" s="651"/>
      <c r="K639" s="410"/>
      <c r="L639" s="410"/>
      <c r="M639" s="410"/>
      <c r="N639" s="410"/>
      <c r="O639" s="700" t="s">
        <v>26</v>
      </c>
      <c r="P639" s="410"/>
      <c r="Q639" s="410"/>
      <c r="R639" s="410"/>
      <c r="S639" s="410"/>
      <c r="T639" s="410"/>
      <c r="U639" s="410"/>
      <c r="V639" s="63"/>
      <c r="W639" s="63"/>
      <c r="X639" s="63"/>
      <c r="Y639" s="63"/>
      <c r="Z639" s="63"/>
    </row>
    <row r="640" spans="1:26" hidden="1" x14ac:dyDescent="0.15">
      <c r="A640" s="63"/>
      <c r="B640" s="63"/>
      <c r="C640" s="80">
        <v>8</v>
      </c>
      <c r="D640" s="81">
        <v>300</v>
      </c>
      <c r="E640" s="81">
        <v>300</v>
      </c>
      <c r="F640" s="81">
        <v>225</v>
      </c>
      <c r="G640" s="410"/>
      <c r="H640" s="700"/>
      <c r="I640" s="651" t="s">
        <v>117</v>
      </c>
      <c r="J640" s="651"/>
      <c r="K640" s="410"/>
      <c r="L640" s="410"/>
      <c r="M640" s="410"/>
      <c r="N640" s="410"/>
      <c r="O640" s="700" t="s">
        <v>27</v>
      </c>
      <c r="P640" s="410"/>
      <c r="Q640" s="410"/>
      <c r="R640" s="410"/>
      <c r="S640" s="410"/>
      <c r="T640" s="410"/>
      <c r="U640" s="410"/>
      <c r="V640" s="63"/>
      <c r="W640" s="63"/>
      <c r="X640" s="63"/>
      <c r="Y640" s="63"/>
      <c r="Z640" s="63"/>
    </row>
    <row r="641" spans="1:26" hidden="1" x14ac:dyDescent="0.15">
      <c r="A641" s="63"/>
      <c r="B641" s="63"/>
      <c r="C641" s="80">
        <v>9</v>
      </c>
      <c r="D641" s="81">
        <v>300</v>
      </c>
      <c r="E641" s="81">
        <v>300</v>
      </c>
      <c r="F641" s="81">
        <v>225</v>
      </c>
      <c r="G641" s="410"/>
      <c r="H641" s="700"/>
      <c r="I641" s="651" t="s">
        <v>118</v>
      </c>
      <c r="J641" s="651"/>
      <c r="K641" s="410"/>
      <c r="L641" s="410"/>
      <c r="M641" s="410"/>
      <c r="N641" s="410"/>
      <c r="O641" s="700" t="s">
        <v>28</v>
      </c>
      <c r="P641" s="410"/>
      <c r="Q641" s="410"/>
      <c r="R641" s="410"/>
      <c r="S641" s="410"/>
      <c r="T641" s="410"/>
      <c r="U641" s="410"/>
      <c r="V641" s="63"/>
      <c r="W641" s="63"/>
      <c r="X641" s="63"/>
      <c r="Y641" s="63"/>
      <c r="Z641" s="63"/>
    </row>
    <row r="642" spans="1:26" hidden="1" x14ac:dyDescent="0.15">
      <c r="A642" s="63"/>
      <c r="B642" s="63"/>
      <c r="C642" s="63"/>
      <c r="D642" s="63"/>
      <c r="E642" s="63"/>
      <c r="F642" s="63"/>
      <c r="G642" s="410"/>
      <c r="H642" s="700"/>
      <c r="I642" s="651" t="s">
        <v>119</v>
      </c>
      <c r="J642" s="651"/>
      <c r="K642" s="410"/>
      <c r="L642" s="410"/>
      <c r="M642" s="410"/>
      <c r="N642" s="410"/>
      <c r="O642" s="700" t="s">
        <v>29</v>
      </c>
      <c r="P642" s="410"/>
      <c r="Q642" s="410"/>
      <c r="R642" s="410"/>
      <c r="S642" s="410"/>
      <c r="T642" s="410"/>
      <c r="U642" s="410"/>
      <c r="V642" s="63"/>
      <c r="W642" s="63"/>
      <c r="X642" s="63"/>
      <c r="Y642" s="63"/>
      <c r="Z642" s="63"/>
    </row>
    <row r="643" spans="1:26" hidden="1" x14ac:dyDescent="0.15">
      <c r="A643" s="63"/>
      <c r="B643" s="63"/>
      <c r="C643" s="63"/>
      <c r="D643" s="13">
        <v>1</v>
      </c>
      <c r="E643" s="63"/>
      <c r="F643" s="63"/>
      <c r="G643" s="410"/>
      <c r="H643" s="700"/>
      <c r="I643" s="651" t="s">
        <v>120</v>
      </c>
      <c r="J643" s="651"/>
      <c r="K643" s="410"/>
      <c r="L643" s="410"/>
      <c r="M643" s="410"/>
      <c r="N643" s="410"/>
      <c r="O643" s="700" t="s">
        <v>30</v>
      </c>
      <c r="P643" s="410"/>
      <c r="Q643" s="410"/>
      <c r="R643" s="410"/>
      <c r="S643" s="410"/>
      <c r="T643" s="410"/>
      <c r="U643" s="410"/>
      <c r="V643" s="63"/>
      <c r="W643" s="63"/>
      <c r="X643" s="63"/>
      <c r="Y643" s="63"/>
      <c r="Z643" s="63"/>
    </row>
    <row r="644" spans="1:26" hidden="1" x14ac:dyDescent="0.15">
      <c r="A644" s="63"/>
      <c r="B644" s="63"/>
      <c r="C644" s="63"/>
      <c r="D644" s="63">
        <v>2</v>
      </c>
      <c r="E644" s="63"/>
      <c r="F644" s="63"/>
      <c r="G644" s="410"/>
      <c r="H644" s="700"/>
      <c r="I644" s="651" t="s">
        <v>121</v>
      </c>
      <c r="J644" s="651"/>
      <c r="K644" s="410"/>
      <c r="L644" s="410"/>
      <c r="M644" s="410"/>
      <c r="N644" s="410"/>
      <c r="O644" s="700" t="s">
        <v>31</v>
      </c>
      <c r="P644" s="410"/>
      <c r="Q644" s="410"/>
      <c r="R644" s="410"/>
      <c r="S644" s="410"/>
      <c r="T644" s="410"/>
      <c r="U644" s="410"/>
      <c r="V644" s="63"/>
      <c r="W644" s="63"/>
      <c r="X644" s="63"/>
      <c r="Y644" s="63"/>
      <c r="Z644" s="63"/>
    </row>
    <row r="645" spans="1:26" hidden="1" x14ac:dyDescent="0.15">
      <c r="A645" s="63"/>
      <c r="B645" s="63"/>
      <c r="C645" s="63"/>
      <c r="E645" s="63"/>
      <c r="F645" s="63"/>
      <c r="G645" s="410"/>
      <c r="H645" s="700"/>
      <c r="I645" s="651" t="s">
        <v>122</v>
      </c>
      <c r="J645" s="651"/>
      <c r="K645" s="410"/>
      <c r="L645" s="410"/>
      <c r="M645" s="410"/>
      <c r="N645" s="410"/>
      <c r="O645" s="700" t="s">
        <v>32</v>
      </c>
      <c r="P645" s="410"/>
      <c r="Q645" s="410"/>
      <c r="R645" s="410"/>
      <c r="S645" s="410"/>
      <c r="T645" s="410"/>
      <c r="U645" s="410"/>
      <c r="V645" s="63"/>
      <c r="W645" s="63"/>
      <c r="X645" s="63"/>
      <c r="Y645" s="63"/>
      <c r="Z645" s="63"/>
    </row>
    <row r="646" spans="1:26" hidden="1" x14ac:dyDescent="0.15">
      <c r="A646" s="63"/>
      <c r="B646" s="63"/>
      <c r="C646" s="63"/>
      <c r="D646" s="63" t="s">
        <v>215</v>
      </c>
      <c r="E646" s="63"/>
      <c r="F646" s="63"/>
      <c r="G646" s="410"/>
      <c r="H646" s="700"/>
      <c r="I646" s="651" t="s">
        <v>123</v>
      </c>
      <c r="J646" s="651"/>
      <c r="K646" s="410"/>
      <c r="L646" s="410"/>
      <c r="M646" s="410"/>
      <c r="N646" s="410"/>
      <c r="O646" s="700" t="s">
        <v>33</v>
      </c>
      <c r="P646" s="410"/>
      <c r="Q646" s="410"/>
      <c r="R646" s="410"/>
      <c r="S646" s="410"/>
      <c r="T646" s="410"/>
      <c r="U646" s="410"/>
      <c r="V646" s="63"/>
      <c r="W646" s="63"/>
      <c r="X646" s="63"/>
      <c r="Y646" s="63"/>
      <c r="Z646" s="63"/>
    </row>
    <row r="647" spans="1:26" hidden="1" x14ac:dyDescent="0.15">
      <c r="A647" s="63"/>
      <c r="B647" s="63"/>
      <c r="C647" s="63"/>
      <c r="D647" s="63" t="s">
        <v>213</v>
      </c>
      <c r="E647" s="63"/>
      <c r="F647" s="63"/>
      <c r="G647" s="410"/>
      <c r="H647" s="700"/>
      <c r="I647" s="651" t="s">
        <v>124</v>
      </c>
      <c r="J647" s="651"/>
      <c r="K647" s="410"/>
      <c r="L647" s="410"/>
      <c r="M647" s="410"/>
      <c r="N647" s="410"/>
      <c r="O647" s="700" t="s">
        <v>34</v>
      </c>
      <c r="P647" s="410"/>
      <c r="Q647" s="410"/>
      <c r="R647" s="410"/>
      <c r="S647" s="410"/>
      <c r="T647" s="410"/>
      <c r="U647" s="410"/>
      <c r="V647" s="63"/>
      <c r="W647" s="63"/>
      <c r="X647" s="63"/>
      <c r="Y647" s="63"/>
      <c r="Z647" s="63"/>
    </row>
    <row r="648" spans="1:26" hidden="1" x14ac:dyDescent="0.15">
      <c r="A648" s="63"/>
      <c r="B648" s="63"/>
      <c r="C648" s="63"/>
      <c r="D648" s="63" t="s">
        <v>214</v>
      </c>
      <c r="E648" s="63"/>
      <c r="F648" s="63"/>
      <c r="G648" s="410"/>
      <c r="H648" s="700"/>
      <c r="I648" s="651" t="s">
        <v>125</v>
      </c>
      <c r="J648" s="651"/>
      <c r="K648" s="410"/>
      <c r="L648" s="410"/>
      <c r="M648" s="410"/>
      <c r="N648" s="410"/>
      <c r="O648" s="700" t="s">
        <v>35</v>
      </c>
      <c r="P648" s="410"/>
      <c r="Q648" s="410"/>
      <c r="R648" s="410"/>
      <c r="S648" s="410"/>
      <c r="T648" s="410"/>
      <c r="U648" s="410"/>
      <c r="V648" s="63"/>
      <c r="W648" s="63"/>
      <c r="X648" s="63"/>
      <c r="Y648" s="63"/>
      <c r="Z648" s="63"/>
    </row>
    <row r="649" spans="1:26" hidden="1" x14ac:dyDescent="0.15">
      <c r="A649" s="63"/>
      <c r="B649" s="63"/>
      <c r="C649" s="63"/>
      <c r="D649" s="63"/>
      <c r="E649" s="63"/>
      <c r="F649" s="63"/>
      <c r="G649" s="410"/>
      <c r="H649" s="700"/>
      <c r="I649" s="651" t="s">
        <v>126</v>
      </c>
      <c r="J649" s="651"/>
      <c r="K649" s="410"/>
      <c r="L649" s="410"/>
      <c r="M649" s="410"/>
      <c r="N649" s="410"/>
      <c r="O649" s="700" t="s">
        <v>36</v>
      </c>
      <c r="P649" s="410"/>
      <c r="Q649" s="410"/>
      <c r="R649" s="410"/>
      <c r="S649" s="410"/>
      <c r="T649" s="410"/>
      <c r="U649" s="410"/>
      <c r="V649" s="63"/>
      <c r="W649" s="63"/>
      <c r="X649" s="63"/>
      <c r="Y649" s="63"/>
      <c r="Z649" s="63"/>
    </row>
    <row r="650" spans="1:26" hidden="1" x14ac:dyDescent="0.15">
      <c r="A650" s="63"/>
      <c r="B650" s="63"/>
      <c r="C650" s="63"/>
      <c r="E650" s="63"/>
      <c r="F650" s="63"/>
      <c r="G650" s="410"/>
      <c r="H650" s="700"/>
      <c r="I650" s="651" t="s">
        <v>127</v>
      </c>
      <c r="J650" s="651"/>
      <c r="K650" s="410"/>
      <c r="L650" s="410"/>
      <c r="M650" s="410"/>
      <c r="N650" s="410"/>
      <c r="O650" s="700" t="s">
        <v>37</v>
      </c>
      <c r="P650" s="410"/>
      <c r="Q650" s="410"/>
      <c r="R650" s="410"/>
      <c r="S650" s="410"/>
      <c r="T650" s="410"/>
      <c r="U650" s="410"/>
      <c r="V650" s="63"/>
      <c r="W650" s="63"/>
      <c r="X650" s="63"/>
      <c r="Y650" s="63"/>
      <c r="Z650" s="63"/>
    </row>
    <row r="651" spans="1:26" hidden="1" x14ac:dyDescent="0.15">
      <c r="A651" s="63"/>
      <c r="B651" s="63"/>
      <c r="C651" s="63"/>
      <c r="D651" s="3" t="s">
        <v>956</v>
      </c>
      <c r="E651" s="63"/>
      <c r="F651" s="63"/>
      <c r="G651" s="410"/>
      <c r="H651" s="700"/>
      <c r="I651" s="651" t="s">
        <v>128</v>
      </c>
      <c r="J651" s="651"/>
      <c r="K651" s="410"/>
      <c r="L651" s="410"/>
      <c r="M651" s="410"/>
      <c r="N651" s="410"/>
      <c r="O651" s="700" t="s">
        <v>38</v>
      </c>
      <c r="P651" s="410"/>
      <c r="Q651" s="410"/>
      <c r="R651" s="410"/>
      <c r="S651" s="410"/>
      <c r="T651" s="410"/>
      <c r="U651" s="410"/>
      <c r="V651" s="63"/>
      <c r="W651" s="63"/>
      <c r="X651" s="63"/>
      <c r="Y651" s="63"/>
      <c r="Z651" s="63"/>
    </row>
    <row r="652" spans="1:26" hidden="1" x14ac:dyDescent="0.15">
      <c r="A652" s="63"/>
      <c r="B652" s="63"/>
      <c r="C652" s="63"/>
      <c r="D652" s="3" t="s">
        <v>957</v>
      </c>
      <c r="E652" s="63"/>
      <c r="F652" s="63"/>
      <c r="G652" s="410"/>
      <c r="H652" s="700"/>
      <c r="I652" s="651" t="s">
        <v>129</v>
      </c>
      <c r="J652" s="651"/>
      <c r="K652" s="410"/>
      <c r="L652" s="410"/>
      <c r="M652" s="410"/>
      <c r="N652" s="410"/>
      <c r="O652" s="700" t="s">
        <v>277</v>
      </c>
      <c r="P652" s="410"/>
      <c r="Q652" s="410"/>
      <c r="R652" s="410"/>
      <c r="S652" s="410"/>
      <c r="T652" s="410"/>
      <c r="U652" s="410"/>
      <c r="V652" s="63"/>
      <c r="W652" s="63"/>
      <c r="X652" s="63"/>
      <c r="Y652" s="63"/>
      <c r="Z652" s="63"/>
    </row>
    <row r="653" spans="1:26" hidden="1" x14ac:dyDescent="0.15">
      <c r="A653" s="63"/>
      <c r="B653" s="63"/>
      <c r="C653" s="63"/>
      <c r="D653" s="63"/>
      <c r="E653" s="63"/>
      <c r="F653" s="63"/>
      <c r="G653" s="410"/>
      <c r="H653" s="700"/>
      <c r="I653" s="651" t="s">
        <v>130</v>
      </c>
      <c r="J653" s="651"/>
      <c r="K653" s="410"/>
      <c r="L653" s="410"/>
      <c r="M653" s="410"/>
      <c r="N653" s="410"/>
      <c r="O653" s="410"/>
      <c r="P653" s="410"/>
      <c r="Q653" s="410"/>
      <c r="R653" s="410"/>
      <c r="S653" s="410"/>
      <c r="T653" s="410"/>
      <c r="U653" s="410"/>
      <c r="V653" s="63"/>
      <c r="W653" s="63"/>
      <c r="X653" s="63"/>
      <c r="Y653" s="63"/>
      <c r="Z653" s="63"/>
    </row>
    <row r="654" spans="1:26" hidden="1" x14ac:dyDescent="0.15">
      <c r="A654" s="63"/>
      <c r="B654" s="63"/>
      <c r="C654" s="63"/>
      <c r="D654" s="63"/>
      <c r="E654" s="63"/>
      <c r="F654" s="63"/>
      <c r="G654" s="410"/>
      <c r="H654" s="700"/>
      <c r="I654" s="651" t="s">
        <v>132</v>
      </c>
      <c r="J654" s="651"/>
      <c r="K654" s="410"/>
      <c r="L654" s="410"/>
      <c r="M654" s="410"/>
      <c r="N654" s="410"/>
      <c r="O654" s="410"/>
      <c r="P654" s="410"/>
      <c r="Q654" s="410"/>
      <c r="R654" s="410"/>
      <c r="S654" s="410"/>
      <c r="T654" s="410"/>
      <c r="U654" s="410"/>
      <c r="V654" s="63"/>
      <c r="W654" s="63"/>
      <c r="X654" s="63"/>
      <c r="Y654" s="63"/>
      <c r="Z654" s="63"/>
    </row>
    <row r="655" spans="1:26" hidden="1" x14ac:dyDescent="0.15">
      <c r="A655" s="63"/>
      <c r="B655" s="63"/>
      <c r="C655" s="63"/>
      <c r="D655" s="63"/>
      <c r="E655" s="63"/>
      <c r="F655" s="63"/>
      <c r="G655" s="410"/>
      <c r="H655" s="700"/>
      <c r="I655" s="651" t="s">
        <v>133</v>
      </c>
      <c r="J655" s="651"/>
      <c r="K655" s="410"/>
      <c r="L655" s="410"/>
      <c r="M655" s="410"/>
      <c r="N655" s="410"/>
      <c r="O655" s="410" t="s">
        <v>610</v>
      </c>
      <c r="P655" s="410"/>
      <c r="Q655" s="410"/>
      <c r="R655" s="410"/>
      <c r="S655" s="410"/>
      <c r="T655" s="410"/>
      <c r="U655" s="410"/>
      <c r="V655" s="63"/>
      <c r="W655" s="63"/>
      <c r="X655" s="63"/>
      <c r="Y655" s="63"/>
      <c r="Z655" s="63"/>
    </row>
    <row r="656" spans="1:26" hidden="1" x14ac:dyDescent="0.15">
      <c r="A656" s="63"/>
      <c r="B656" s="63"/>
      <c r="C656" s="63"/>
      <c r="D656" s="63"/>
      <c r="E656" s="63"/>
      <c r="F656" s="63"/>
      <c r="G656" s="410"/>
      <c r="H656" s="700"/>
      <c r="I656" s="651" t="s">
        <v>134</v>
      </c>
      <c r="J656" s="651"/>
      <c r="K656" s="410"/>
      <c r="L656" s="410"/>
      <c r="M656" s="410"/>
      <c r="N656" s="410"/>
      <c r="O656" s="410" t="s">
        <v>611</v>
      </c>
      <c r="P656" s="410"/>
      <c r="Q656" s="410"/>
      <c r="R656" s="410"/>
      <c r="S656" s="410"/>
      <c r="T656" s="410"/>
      <c r="U656" s="410"/>
      <c r="V656" s="63"/>
      <c r="W656" s="63"/>
      <c r="X656" s="63"/>
      <c r="Y656" s="63"/>
      <c r="Z656" s="63"/>
    </row>
    <row r="657" spans="1:26" hidden="1" x14ac:dyDescent="0.15">
      <c r="A657" s="63"/>
      <c r="B657" s="63"/>
      <c r="C657" s="63"/>
      <c r="D657" s="63"/>
      <c r="E657" s="63"/>
      <c r="F657" s="63"/>
      <c r="G657" s="410"/>
      <c r="H657" s="700"/>
      <c r="I657" s="651" t="s">
        <v>135</v>
      </c>
      <c r="J657" s="651"/>
      <c r="K657" s="410"/>
      <c r="L657" s="410"/>
      <c r="M657" s="410"/>
      <c r="N657" s="410"/>
      <c r="O657" s="410" t="s">
        <v>612</v>
      </c>
      <c r="P657" s="410"/>
      <c r="Q657" s="410"/>
      <c r="R657" s="410"/>
      <c r="S657" s="410"/>
      <c r="T657" s="410"/>
      <c r="U657" s="410"/>
      <c r="V657" s="63"/>
      <c r="W657" s="63"/>
      <c r="X657" s="63"/>
      <c r="Y657" s="63"/>
      <c r="Z657" s="63"/>
    </row>
    <row r="658" spans="1:26" hidden="1" x14ac:dyDescent="0.15">
      <c r="A658" s="63"/>
      <c r="B658" s="63"/>
      <c r="C658" s="63"/>
      <c r="D658" s="63"/>
      <c r="E658" s="63"/>
      <c r="F658" s="63"/>
      <c r="G658" s="410"/>
      <c r="H658" s="700"/>
      <c r="I658" s="651" t="s">
        <v>136</v>
      </c>
      <c r="J658" s="651"/>
      <c r="K658" s="410"/>
      <c r="L658" s="410"/>
      <c r="M658" s="410"/>
      <c r="N658" s="410"/>
      <c r="O658" s="410" t="s">
        <v>613</v>
      </c>
      <c r="P658" s="410"/>
      <c r="Q658" s="410"/>
      <c r="R658" s="410"/>
      <c r="S658" s="410"/>
      <c r="T658" s="410"/>
      <c r="U658" s="410"/>
      <c r="V658" s="63"/>
      <c r="W658" s="63"/>
      <c r="X658" s="63"/>
      <c r="Y658" s="63"/>
      <c r="Z658" s="63"/>
    </row>
    <row r="659" spans="1:26" hidden="1" x14ac:dyDescent="0.15">
      <c r="A659" s="63"/>
      <c r="B659" s="63"/>
      <c r="C659" s="63"/>
      <c r="D659" s="63"/>
      <c r="E659" s="63"/>
      <c r="F659" s="63"/>
      <c r="G659" s="410"/>
      <c r="H659" s="700"/>
      <c r="I659" s="651" t="s">
        <v>137</v>
      </c>
      <c r="J659" s="651"/>
      <c r="K659" s="410"/>
      <c r="L659" s="410"/>
      <c r="M659" s="410"/>
      <c r="N659" s="410"/>
      <c r="O659" s="410" t="s">
        <v>614</v>
      </c>
      <c r="P659" s="410"/>
      <c r="Q659" s="410"/>
      <c r="R659" s="410"/>
      <c r="S659" s="410"/>
      <c r="T659" s="410"/>
      <c r="U659" s="410"/>
      <c r="V659" s="63"/>
      <c r="W659" s="63"/>
      <c r="X659" s="63"/>
      <c r="Y659" s="63"/>
      <c r="Z659" s="63"/>
    </row>
    <row r="660" spans="1:26" hidden="1" x14ac:dyDescent="0.15">
      <c r="A660" s="63"/>
      <c r="B660" s="63"/>
      <c r="C660" s="63"/>
      <c r="D660" s="63"/>
      <c r="E660" s="63"/>
      <c r="F660" s="63"/>
      <c r="G660" s="410"/>
      <c r="H660" s="700"/>
      <c r="I660" s="651" t="s">
        <v>138</v>
      </c>
      <c r="J660" s="651"/>
      <c r="K660" s="410"/>
      <c r="L660" s="410"/>
      <c r="M660" s="410"/>
      <c r="N660" s="410"/>
      <c r="O660" s="410" t="s">
        <v>540</v>
      </c>
      <c r="P660" s="410"/>
      <c r="Q660" s="410"/>
      <c r="R660" s="410"/>
      <c r="S660" s="410"/>
      <c r="T660" s="410"/>
      <c r="U660" s="410"/>
      <c r="V660" s="63"/>
      <c r="W660" s="63"/>
      <c r="X660" s="63"/>
      <c r="Y660" s="63"/>
      <c r="Z660" s="63"/>
    </row>
    <row r="661" spans="1:26" hidden="1" x14ac:dyDescent="0.15">
      <c r="A661" s="63"/>
      <c r="B661" s="63"/>
      <c r="C661" s="63"/>
      <c r="D661" s="63"/>
      <c r="E661" s="63"/>
      <c r="F661" s="63"/>
      <c r="G661" s="410"/>
      <c r="H661" s="700"/>
      <c r="I661" s="651" t="s">
        <v>139</v>
      </c>
      <c r="J661" s="651"/>
      <c r="K661" s="410"/>
      <c r="L661" s="410"/>
      <c r="M661" s="410"/>
      <c r="N661" s="410"/>
      <c r="O661" s="410" t="s">
        <v>615</v>
      </c>
      <c r="P661" s="410"/>
      <c r="Q661" s="410"/>
      <c r="R661" s="410"/>
      <c r="S661" s="410"/>
      <c r="T661" s="410"/>
      <c r="U661" s="410"/>
      <c r="V661" s="63"/>
      <c r="W661" s="63"/>
      <c r="X661" s="63"/>
      <c r="Y661" s="63"/>
      <c r="Z661" s="63"/>
    </row>
    <row r="662" spans="1:26" hidden="1" x14ac:dyDescent="0.15">
      <c r="A662" s="63"/>
      <c r="B662" s="63"/>
      <c r="C662" s="63"/>
      <c r="D662" s="63"/>
      <c r="E662" s="63"/>
      <c r="F662" s="63"/>
      <c r="G662" s="410"/>
      <c r="H662" s="700"/>
      <c r="I662" s="651" t="s">
        <v>140</v>
      </c>
      <c r="J662" s="651"/>
      <c r="K662" s="410"/>
      <c r="L662" s="410"/>
      <c r="M662" s="410"/>
      <c r="N662" s="410"/>
      <c r="O662" s="410" t="s">
        <v>616</v>
      </c>
      <c r="P662" s="410"/>
      <c r="Q662" s="410"/>
      <c r="R662" s="410"/>
      <c r="S662" s="410"/>
      <c r="T662" s="410"/>
      <c r="U662" s="410"/>
      <c r="V662" s="63"/>
      <c r="W662" s="63"/>
      <c r="X662" s="63"/>
      <c r="Y662" s="63"/>
      <c r="Z662" s="63"/>
    </row>
    <row r="663" spans="1:26" hidden="1" x14ac:dyDescent="0.15">
      <c r="A663" s="63"/>
      <c r="B663" s="63"/>
      <c r="C663" s="63"/>
      <c r="D663" s="63"/>
      <c r="E663" s="63"/>
      <c r="F663" s="63"/>
      <c r="G663" s="410"/>
      <c r="H663" s="700"/>
      <c r="I663" s="651" t="s">
        <v>141</v>
      </c>
      <c r="J663" s="651"/>
      <c r="K663" s="410"/>
      <c r="L663" s="410"/>
      <c r="M663" s="410"/>
      <c r="N663" s="410"/>
      <c r="O663" s="410" t="s">
        <v>617</v>
      </c>
      <c r="P663" s="410"/>
      <c r="Q663" s="410"/>
      <c r="R663" s="410"/>
      <c r="S663" s="410"/>
      <c r="T663" s="410"/>
      <c r="U663" s="410"/>
      <c r="V663" s="63"/>
      <c r="W663" s="63"/>
      <c r="X663" s="63"/>
      <c r="Y663" s="63"/>
      <c r="Z663" s="63"/>
    </row>
    <row r="664" spans="1:26" hidden="1" x14ac:dyDescent="0.15">
      <c r="A664" s="63"/>
      <c r="B664" s="63"/>
      <c r="C664" s="63"/>
      <c r="D664" s="63"/>
      <c r="E664" s="63"/>
      <c r="F664" s="63"/>
      <c r="G664" s="410"/>
      <c r="H664" s="700"/>
      <c r="I664" s="651" t="s">
        <v>142</v>
      </c>
      <c r="J664" s="651"/>
      <c r="K664" s="410"/>
      <c r="L664" s="410"/>
      <c r="M664" s="410"/>
      <c r="N664" s="410"/>
      <c r="O664" s="410" t="s">
        <v>618</v>
      </c>
      <c r="P664" s="410"/>
      <c r="Q664" s="410"/>
      <c r="R664" s="410"/>
      <c r="S664" s="410"/>
      <c r="T664" s="410"/>
      <c r="U664" s="410"/>
      <c r="V664" s="63"/>
      <c r="W664" s="63"/>
      <c r="X664" s="63"/>
      <c r="Y664" s="63"/>
      <c r="Z664" s="63"/>
    </row>
    <row r="665" spans="1:26" hidden="1" x14ac:dyDescent="0.15">
      <c r="A665" s="63"/>
      <c r="B665" s="63"/>
      <c r="C665" s="63"/>
      <c r="D665" s="63"/>
      <c r="E665" s="63"/>
      <c r="F665" s="63"/>
      <c r="G665" s="410"/>
      <c r="H665" s="700"/>
      <c r="I665" s="651" t="s">
        <v>143</v>
      </c>
      <c r="J665" s="651"/>
      <c r="K665" s="410"/>
      <c r="L665" s="410"/>
      <c r="M665" s="410"/>
      <c r="N665" s="410"/>
      <c r="O665" s="410" t="s">
        <v>619</v>
      </c>
      <c r="P665" s="410"/>
      <c r="Q665" s="410"/>
      <c r="R665" s="410"/>
      <c r="S665" s="410"/>
      <c r="T665" s="410"/>
      <c r="U665" s="410"/>
      <c r="V665" s="63"/>
      <c r="W665" s="63"/>
      <c r="X665" s="63"/>
      <c r="Y665" s="63"/>
      <c r="Z665" s="63"/>
    </row>
    <row r="666" spans="1:26" hidden="1" x14ac:dyDescent="0.15">
      <c r="A666" s="63"/>
      <c r="B666" s="63"/>
      <c r="C666" s="63"/>
      <c r="D666" s="63"/>
      <c r="E666" s="63"/>
      <c r="F666" s="63"/>
      <c r="G666" s="410"/>
      <c r="H666" s="700"/>
      <c r="I666" s="651" t="s">
        <v>144</v>
      </c>
      <c r="J666" s="651"/>
      <c r="K666" s="410"/>
      <c r="L666" s="410"/>
      <c r="M666" s="410"/>
      <c r="N666" s="410"/>
      <c r="O666" s="410" t="s">
        <v>620</v>
      </c>
      <c r="P666" s="410"/>
      <c r="Q666" s="410"/>
      <c r="R666" s="410"/>
      <c r="S666" s="410"/>
      <c r="T666" s="410"/>
      <c r="U666" s="410"/>
      <c r="V666" s="63"/>
      <c r="W666" s="63"/>
      <c r="X666" s="63"/>
      <c r="Y666" s="63"/>
      <c r="Z666" s="63"/>
    </row>
    <row r="667" spans="1:26" hidden="1" x14ac:dyDescent="0.15">
      <c r="A667" s="63"/>
      <c r="B667" s="63"/>
      <c r="C667" s="63"/>
      <c r="D667" s="63"/>
      <c r="E667" s="63"/>
      <c r="F667" s="63"/>
      <c r="G667" s="410"/>
      <c r="H667" s="700"/>
      <c r="I667" s="651" t="s">
        <v>145</v>
      </c>
      <c r="J667" s="651"/>
      <c r="K667" s="410"/>
      <c r="L667" s="410"/>
      <c r="M667" s="410"/>
      <c r="N667" s="410"/>
      <c r="O667" s="699" t="s">
        <v>621</v>
      </c>
      <c r="P667" s="410"/>
      <c r="Q667" s="410"/>
      <c r="R667" s="410"/>
      <c r="S667" s="410"/>
      <c r="T667" s="410"/>
      <c r="U667" s="410"/>
      <c r="V667" s="63"/>
      <c r="W667" s="63"/>
      <c r="X667" s="63"/>
      <c r="Y667" s="63"/>
      <c r="Z667" s="63"/>
    </row>
    <row r="668" spans="1:26" hidden="1" x14ac:dyDescent="0.15">
      <c r="A668" s="63"/>
      <c r="B668" s="63"/>
      <c r="C668" s="63"/>
      <c r="D668" s="63"/>
      <c r="E668" s="63"/>
      <c r="F668" s="63"/>
      <c r="G668" s="410"/>
      <c r="H668" s="410"/>
      <c r="I668" s="651" t="s">
        <v>146</v>
      </c>
      <c r="J668" s="651"/>
      <c r="K668" s="410"/>
      <c r="L668" s="410"/>
      <c r="M668" s="410"/>
      <c r="N668" s="410"/>
      <c r="O668" s="410"/>
      <c r="P668" s="410"/>
      <c r="Q668" s="410"/>
      <c r="R668" s="410"/>
      <c r="S668" s="410"/>
      <c r="T668" s="410"/>
      <c r="U668" s="410"/>
      <c r="V668" s="63"/>
      <c r="W668" s="63"/>
      <c r="X668" s="63"/>
      <c r="Y668" s="63"/>
      <c r="Z668" s="63"/>
    </row>
    <row r="669" spans="1:26" hidden="1" x14ac:dyDescent="0.15">
      <c r="A669" s="63"/>
      <c r="B669" s="63"/>
      <c r="C669" s="63"/>
      <c r="D669" s="63"/>
      <c r="E669" s="63"/>
      <c r="F669" s="63"/>
      <c r="G669" s="410"/>
      <c r="H669" s="410"/>
      <c r="I669" s="651" t="s">
        <v>147</v>
      </c>
      <c r="J669" s="651"/>
      <c r="K669" s="410"/>
      <c r="L669" s="410"/>
      <c r="M669" s="410"/>
      <c r="N669" s="410"/>
      <c r="O669" s="63">
        <v>90</v>
      </c>
      <c r="P669" s="410">
        <v>21</v>
      </c>
      <c r="Q669" s="410"/>
      <c r="R669" s="410"/>
      <c r="S669" s="410"/>
      <c r="T669" s="410"/>
      <c r="U669" s="410"/>
      <c r="V669" s="63"/>
      <c r="W669" s="63"/>
      <c r="X669" s="63"/>
      <c r="Y669" s="63"/>
      <c r="Z669" s="63"/>
    </row>
    <row r="670" spans="1:26" hidden="1" x14ac:dyDescent="0.15">
      <c r="A670" s="63"/>
      <c r="B670" s="63"/>
      <c r="C670" s="63"/>
      <c r="D670" s="63"/>
      <c r="E670" s="63"/>
      <c r="F670" s="63"/>
      <c r="G670" s="410"/>
      <c r="H670" s="410"/>
      <c r="I670" s="651" t="s">
        <v>148</v>
      </c>
      <c r="J670" s="651"/>
      <c r="K670" s="410"/>
      <c r="L670" s="410"/>
      <c r="M670" s="410"/>
      <c r="N670" s="410"/>
      <c r="O670" s="63">
        <v>105</v>
      </c>
      <c r="P670" s="410">
        <v>24</v>
      </c>
      <c r="Q670" s="410"/>
      <c r="R670" s="410"/>
      <c r="S670" s="410"/>
      <c r="T670" s="410"/>
      <c r="U670" s="410"/>
      <c r="V670" s="63"/>
      <c r="W670" s="63"/>
      <c r="X670" s="63"/>
      <c r="Y670" s="63"/>
      <c r="Z670" s="63"/>
    </row>
    <row r="671" spans="1:26" hidden="1" x14ac:dyDescent="0.15">
      <c r="A671" s="63"/>
      <c r="B671" s="63"/>
      <c r="C671" s="63"/>
      <c r="D671" s="63"/>
      <c r="E671" s="63"/>
      <c r="F671" s="63"/>
      <c r="G671" s="410"/>
      <c r="H671" s="410"/>
      <c r="I671" s="651" t="s">
        <v>149</v>
      </c>
      <c r="J671" s="704"/>
      <c r="K671" s="410"/>
      <c r="L671" s="410"/>
      <c r="M671" s="410"/>
      <c r="N671" s="410"/>
      <c r="O671" s="63">
        <v>120</v>
      </c>
      <c r="P671" s="410">
        <v>30</v>
      </c>
      <c r="Q671" s="410"/>
      <c r="R671" s="410"/>
      <c r="S671" s="410"/>
      <c r="T671" s="410"/>
      <c r="U671" s="410"/>
      <c r="V671" s="63"/>
      <c r="W671" s="63"/>
      <c r="X671" s="63"/>
      <c r="Y671" s="63"/>
      <c r="Z671" s="63"/>
    </row>
    <row r="672" spans="1:26" hidden="1" x14ac:dyDescent="0.15">
      <c r="A672" s="63"/>
      <c r="B672" s="63"/>
      <c r="C672" s="63"/>
      <c r="D672" s="63"/>
      <c r="E672" s="63"/>
      <c r="F672" s="63"/>
      <c r="G672" s="410"/>
      <c r="H672" s="410"/>
      <c r="I672" s="651" t="s">
        <v>150</v>
      </c>
      <c r="J672" s="704"/>
      <c r="K672" s="410"/>
      <c r="L672" s="410"/>
      <c r="M672" s="410"/>
      <c r="N672" s="410"/>
      <c r="O672" s="63">
        <v>135</v>
      </c>
      <c r="P672" s="410">
        <v>40</v>
      </c>
      <c r="Q672" s="410"/>
      <c r="R672" s="410"/>
      <c r="S672" s="410"/>
      <c r="T672" s="410"/>
      <c r="U672" s="410"/>
      <c r="V672" s="63"/>
      <c r="W672" s="63"/>
      <c r="X672" s="63"/>
      <c r="Y672" s="63"/>
      <c r="Z672" s="63"/>
    </row>
    <row r="673" spans="1:26" hidden="1" x14ac:dyDescent="0.15">
      <c r="A673" s="63"/>
      <c r="B673" s="63"/>
      <c r="C673" s="63"/>
      <c r="D673" s="63"/>
      <c r="E673" s="63"/>
      <c r="F673" s="63"/>
      <c r="G673" s="410"/>
      <c r="H673" s="410"/>
      <c r="I673" s="651" t="s">
        <v>151</v>
      </c>
      <c r="J673" s="704"/>
      <c r="K673" s="410"/>
      <c r="L673" s="410"/>
      <c r="M673" s="410"/>
      <c r="N673" s="410"/>
      <c r="O673" s="63">
        <v>150</v>
      </c>
      <c r="P673" s="410">
        <v>45</v>
      </c>
      <c r="Q673" s="410"/>
      <c r="R673" s="410"/>
      <c r="S673" s="410"/>
      <c r="T673" s="410"/>
      <c r="U673" s="410"/>
      <c r="V673" s="63"/>
      <c r="W673" s="63"/>
      <c r="X673" s="63"/>
      <c r="Y673" s="63"/>
      <c r="Z673" s="63"/>
    </row>
    <row r="674" spans="1:26" hidden="1" x14ac:dyDescent="0.15">
      <c r="A674" s="63"/>
      <c r="B674" s="63"/>
      <c r="C674" s="63"/>
      <c r="D674" s="63"/>
      <c r="E674" s="63"/>
      <c r="F674" s="63"/>
      <c r="G674" s="410"/>
      <c r="H674" s="410"/>
      <c r="I674" s="651" t="s">
        <v>152</v>
      </c>
      <c r="J674" s="704"/>
      <c r="K674" s="410"/>
      <c r="L674" s="410"/>
      <c r="M674" s="410"/>
      <c r="N674" s="410"/>
      <c r="O674" s="63">
        <v>180</v>
      </c>
      <c r="P674" s="410">
        <v>60</v>
      </c>
      <c r="Q674" s="410"/>
      <c r="R674" s="410"/>
      <c r="S674" s="410"/>
      <c r="T674" s="410"/>
      <c r="U674" s="410"/>
      <c r="V674" s="63"/>
      <c r="W674" s="63"/>
      <c r="X674" s="63"/>
      <c r="Y674" s="63"/>
      <c r="Z674" s="63"/>
    </row>
    <row r="675" spans="1:26" hidden="1" x14ac:dyDescent="0.15">
      <c r="A675" s="63"/>
      <c r="B675" s="63"/>
      <c r="C675" s="63"/>
      <c r="D675" s="63"/>
      <c r="E675" s="63"/>
      <c r="F675" s="63"/>
      <c r="G675" s="410"/>
      <c r="H675" s="410"/>
      <c r="I675" s="651" t="s">
        <v>153</v>
      </c>
      <c r="J675" s="704"/>
      <c r="K675" s="410"/>
      <c r="L675" s="410"/>
      <c r="M675" s="410"/>
      <c r="N675" s="410"/>
      <c r="O675" s="63">
        <v>210</v>
      </c>
      <c r="P675" s="410">
        <v>75</v>
      </c>
      <c r="Q675" s="410"/>
      <c r="R675" s="410"/>
      <c r="S675" s="410"/>
      <c r="T675" s="410"/>
      <c r="U675" s="410"/>
      <c r="V675" s="63"/>
      <c r="W675" s="63"/>
      <c r="X675" s="63"/>
      <c r="Y675" s="63"/>
      <c r="Z675" s="63"/>
    </row>
    <row r="676" spans="1:26" hidden="1" x14ac:dyDescent="0.15">
      <c r="A676" s="63"/>
      <c r="B676" s="63"/>
      <c r="C676" s="63"/>
      <c r="D676" s="63"/>
      <c r="E676" s="63"/>
      <c r="F676" s="63"/>
      <c r="G676" s="410"/>
      <c r="H676" s="410"/>
      <c r="I676" s="651" t="s">
        <v>154</v>
      </c>
      <c r="J676" s="704"/>
      <c r="K676" s="410"/>
      <c r="L676" s="410"/>
      <c r="M676" s="410"/>
      <c r="N676" s="410"/>
      <c r="O676" s="63">
        <v>240</v>
      </c>
      <c r="P676" s="410">
        <v>90</v>
      </c>
      <c r="Q676" s="410"/>
      <c r="R676" s="410"/>
      <c r="S676" s="410"/>
      <c r="T676" s="410"/>
      <c r="U676" s="410"/>
      <c r="V676" s="63"/>
      <c r="W676" s="63"/>
      <c r="X676" s="63"/>
      <c r="Y676" s="63"/>
      <c r="Z676" s="63"/>
    </row>
    <row r="677" spans="1:26" hidden="1" x14ac:dyDescent="0.15">
      <c r="A677" s="63"/>
      <c r="B677" s="63"/>
      <c r="C677" s="63"/>
      <c r="D677" s="63"/>
      <c r="E677" s="63"/>
      <c r="F677" s="63"/>
      <c r="G677" s="410"/>
      <c r="H677" s="410"/>
      <c r="I677" s="651" t="s">
        <v>155</v>
      </c>
      <c r="J677" s="704"/>
      <c r="K677" s="410"/>
      <c r="L677" s="410"/>
      <c r="M677" s="410"/>
      <c r="N677" s="410"/>
      <c r="O677" s="63">
        <v>270</v>
      </c>
      <c r="P677" s="410">
        <v>105</v>
      </c>
      <c r="Q677" s="410"/>
      <c r="R677" s="410"/>
      <c r="S677" s="410"/>
      <c r="T677" s="410"/>
      <c r="U677" s="410"/>
      <c r="V677" s="63"/>
      <c r="W677" s="63"/>
      <c r="X677" s="63"/>
      <c r="Y677" s="63"/>
      <c r="Z677" s="63"/>
    </row>
    <row r="678" spans="1:26" hidden="1" x14ac:dyDescent="0.15">
      <c r="A678" s="63"/>
      <c r="B678" s="63"/>
      <c r="C678" s="63"/>
      <c r="D678" s="63"/>
      <c r="E678" s="63"/>
      <c r="F678" s="63"/>
      <c r="G678" s="410"/>
      <c r="H678" s="410"/>
      <c r="I678" s="651" t="s">
        <v>64</v>
      </c>
      <c r="J678" s="704"/>
      <c r="K678" s="410"/>
      <c r="L678" s="410"/>
      <c r="M678" s="410"/>
      <c r="N678" s="410"/>
      <c r="O678" s="63">
        <v>300</v>
      </c>
      <c r="P678" s="410">
        <v>120</v>
      </c>
      <c r="Q678" s="410"/>
      <c r="R678" s="410"/>
      <c r="S678" s="410"/>
      <c r="T678" s="410"/>
      <c r="U678" s="410"/>
      <c r="V678" s="63"/>
      <c r="W678" s="63"/>
      <c r="X678" s="63"/>
      <c r="Y678" s="63"/>
      <c r="Z678" s="63"/>
    </row>
    <row r="679" spans="1:26" hidden="1" x14ac:dyDescent="0.15">
      <c r="A679" s="63"/>
      <c r="B679" s="63"/>
      <c r="C679" s="63"/>
      <c r="D679" s="63"/>
      <c r="E679" s="63"/>
      <c r="F679" s="63"/>
      <c r="G679" s="410"/>
      <c r="H679" s="410"/>
      <c r="I679" s="651" t="s">
        <v>156</v>
      </c>
      <c r="J679" s="704"/>
      <c r="K679" s="410"/>
      <c r="L679" s="410"/>
      <c r="M679" s="410"/>
      <c r="N679" s="410"/>
      <c r="O679" s="63">
        <v>330</v>
      </c>
      <c r="P679" s="410">
        <v>135</v>
      </c>
      <c r="Q679" s="410"/>
      <c r="R679" s="3" t="s">
        <v>1174</v>
      </c>
      <c r="S679" s="410"/>
      <c r="T679" s="410"/>
      <c r="U679" s="410"/>
      <c r="V679" s="63"/>
      <c r="W679" s="63"/>
      <c r="X679" s="63"/>
      <c r="Y679" s="63"/>
      <c r="Z679" s="63"/>
    </row>
    <row r="680" spans="1:26" hidden="1" x14ac:dyDescent="0.15">
      <c r="A680" s="63"/>
      <c r="B680" s="63"/>
      <c r="C680" s="63"/>
      <c r="D680" s="63"/>
      <c r="E680" s="63"/>
      <c r="F680" s="63"/>
      <c r="G680" s="410"/>
      <c r="H680" s="410"/>
      <c r="I680" s="3" t="s">
        <v>1545</v>
      </c>
      <c r="L680" s="410"/>
      <c r="M680" s="410"/>
      <c r="N680" s="410"/>
      <c r="O680" s="63">
        <v>360</v>
      </c>
      <c r="P680" s="410">
        <v>150</v>
      </c>
      <c r="Q680" s="410"/>
      <c r="R680" s="3" t="s">
        <v>1175</v>
      </c>
      <c r="S680" s="410"/>
      <c r="T680" s="410"/>
      <c r="U680" s="410"/>
      <c r="V680" s="63"/>
      <c r="W680" s="63"/>
      <c r="X680" s="63"/>
      <c r="Y680" s="63"/>
      <c r="Z680" s="63"/>
    </row>
    <row r="681" spans="1:26" hidden="1" x14ac:dyDescent="0.15">
      <c r="A681" s="63"/>
      <c r="B681" s="63"/>
      <c r="C681" s="63"/>
      <c r="D681" s="63"/>
      <c r="E681" s="63"/>
      <c r="F681" s="63"/>
      <c r="G681" s="410"/>
      <c r="H681" s="410"/>
      <c r="I681" s="410" t="s">
        <v>1546</v>
      </c>
      <c r="J681" s="410"/>
      <c r="K681" s="410"/>
      <c r="L681" s="410"/>
      <c r="M681" s="410"/>
      <c r="N681" s="410"/>
      <c r="O681" s="63">
        <v>390</v>
      </c>
      <c r="P681" s="410">
        <v>180</v>
      </c>
      <c r="Q681" s="410"/>
      <c r="R681" s="3" t="s">
        <v>1176</v>
      </c>
      <c r="S681" s="410"/>
      <c r="T681" s="410"/>
      <c r="U681" s="410"/>
      <c r="V681" s="63"/>
      <c r="W681" s="63"/>
      <c r="X681" s="63"/>
      <c r="Y681" s="63"/>
      <c r="Z681" s="63"/>
    </row>
    <row r="682" spans="1:26" hidden="1" x14ac:dyDescent="0.15">
      <c r="A682" s="63"/>
      <c r="B682" s="63"/>
      <c r="C682" s="63"/>
      <c r="D682" s="63"/>
      <c r="E682" s="63"/>
      <c r="F682" s="63"/>
      <c r="G682" s="410"/>
      <c r="H682" s="410"/>
      <c r="I682" s="3" t="s">
        <v>1547</v>
      </c>
      <c r="J682" s="410"/>
      <c r="K682" s="410"/>
      <c r="L682" s="410"/>
      <c r="M682" s="410"/>
      <c r="N682" s="410"/>
      <c r="O682" s="63">
        <v>420</v>
      </c>
      <c r="P682" s="410">
        <v>210</v>
      </c>
      <c r="Q682" s="410"/>
      <c r="R682" s="410"/>
      <c r="S682" s="410"/>
      <c r="T682" s="410"/>
      <c r="U682" s="410"/>
      <c r="V682" s="63"/>
      <c r="W682" s="63"/>
      <c r="X682" s="63"/>
      <c r="Y682" s="63"/>
      <c r="Z682" s="63"/>
    </row>
    <row r="683" spans="1:26" hidden="1" x14ac:dyDescent="0.15">
      <c r="A683" s="63"/>
      <c r="B683" s="63"/>
      <c r="C683" s="63"/>
      <c r="D683" s="63"/>
      <c r="E683" s="63"/>
      <c r="F683" s="63"/>
      <c r="G683" s="410"/>
      <c r="H683" s="410"/>
      <c r="I683" s="3" t="s">
        <v>1548</v>
      </c>
      <c r="J683" s="410"/>
      <c r="K683" s="410"/>
      <c r="L683" s="410"/>
      <c r="M683" s="410"/>
      <c r="N683" s="410"/>
      <c r="O683" s="63">
        <v>450</v>
      </c>
      <c r="P683" s="410">
        <v>240</v>
      </c>
      <c r="Q683" s="410"/>
      <c r="R683" s="410"/>
      <c r="S683" s="410"/>
      <c r="T683" s="410"/>
      <c r="U683" s="410"/>
      <c r="V683" s="63"/>
      <c r="W683" s="63"/>
      <c r="X683" s="63"/>
      <c r="Y683" s="63"/>
      <c r="Z683" s="63"/>
    </row>
    <row r="684" spans="1:26" hidden="1" x14ac:dyDescent="0.15">
      <c r="A684" s="63"/>
      <c r="B684" s="63"/>
      <c r="C684" s="63"/>
      <c r="D684" s="63"/>
      <c r="E684" s="63"/>
      <c r="F684" s="63"/>
      <c r="G684" s="410"/>
      <c r="H684" s="410"/>
      <c r="I684" s="3" t="s">
        <v>1549</v>
      </c>
      <c r="J684" s="410"/>
      <c r="K684" s="410"/>
      <c r="L684" s="410"/>
      <c r="M684" s="410"/>
      <c r="N684" s="410"/>
      <c r="O684" s="63">
        <f t="shared" ref="O684:O689" si="348">+O683+30</f>
        <v>480</v>
      </c>
      <c r="P684" s="410"/>
      <c r="Q684" s="410"/>
      <c r="R684" s="410"/>
      <c r="S684" s="410"/>
      <c r="T684" s="410"/>
      <c r="U684" s="410"/>
      <c r="V684" s="63"/>
      <c r="W684" s="63"/>
      <c r="X684" s="63"/>
      <c r="Y684" s="63"/>
      <c r="Z684" s="63"/>
    </row>
    <row r="685" spans="1:26" hidden="1" x14ac:dyDescent="0.15">
      <c r="A685" s="63"/>
      <c r="B685" s="63"/>
      <c r="C685" s="63"/>
      <c r="D685" s="63"/>
      <c r="E685" s="63"/>
      <c r="F685" s="63"/>
      <c r="G685" s="410"/>
      <c r="H685" s="410"/>
      <c r="I685" s="410" t="s">
        <v>1550</v>
      </c>
      <c r="J685" s="410"/>
      <c r="K685" s="410"/>
      <c r="L685" s="410"/>
      <c r="M685" s="410"/>
      <c r="N685" s="410"/>
      <c r="O685" s="63">
        <f t="shared" si="348"/>
        <v>510</v>
      </c>
      <c r="P685" s="410"/>
      <c r="Q685" s="410"/>
      <c r="R685" s="410"/>
      <c r="S685" s="410"/>
      <c r="T685" s="410"/>
      <c r="U685" s="410"/>
      <c r="V685" s="63"/>
      <c r="W685" s="63"/>
      <c r="X685" s="63"/>
      <c r="Y685" s="63"/>
      <c r="Z685" s="63"/>
    </row>
    <row r="686" spans="1:26" hidden="1" x14ac:dyDescent="0.15">
      <c r="A686" s="63"/>
      <c r="B686" s="63"/>
      <c r="C686" s="63"/>
      <c r="D686" s="63"/>
      <c r="E686" s="63"/>
      <c r="F686" s="63"/>
      <c r="G686" s="410"/>
      <c r="H686" s="410"/>
      <c r="I686" s="410" t="s">
        <v>1551</v>
      </c>
      <c r="J686" s="410"/>
      <c r="K686" s="410"/>
      <c r="L686" s="410"/>
      <c r="M686" s="410"/>
      <c r="N686" s="410"/>
      <c r="O686" s="63">
        <f t="shared" si="348"/>
        <v>540</v>
      </c>
      <c r="P686" s="410"/>
      <c r="Q686" s="410"/>
      <c r="R686" s="410"/>
      <c r="S686" s="410"/>
      <c r="T686" s="410"/>
      <c r="U686" s="410"/>
      <c r="V686" s="63"/>
      <c r="W686" s="63"/>
      <c r="X686" s="63"/>
      <c r="Y686" s="63"/>
      <c r="Z686" s="63"/>
    </row>
    <row r="687" spans="1:26" hidden="1" x14ac:dyDescent="0.15">
      <c r="A687" s="63"/>
      <c r="B687" s="63"/>
      <c r="C687" s="63"/>
      <c r="D687" s="63"/>
      <c r="E687" s="63"/>
      <c r="F687" s="63"/>
      <c r="G687" s="410"/>
      <c r="H687" s="410"/>
      <c r="I687" s="410" t="s">
        <v>1552</v>
      </c>
      <c r="J687" s="410"/>
      <c r="K687" s="410"/>
      <c r="L687" s="410"/>
      <c r="M687" s="410"/>
      <c r="N687" s="410"/>
      <c r="O687" s="63">
        <f t="shared" si="348"/>
        <v>570</v>
      </c>
      <c r="P687" s="410"/>
      <c r="Q687" s="410"/>
      <c r="R687" s="410"/>
      <c r="S687" s="410"/>
      <c r="T687" s="410"/>
      <c r="U687" s="410"/>
      <c r="V687" s="63"/>
      <c r="W687" s="63"/>
      <c r="X687" s="63"/>
      <c r="Y687" s="63"/>
      <c r="Z687" s="63"/>
    </row>
    <row r="688" spans="1:26" hidden="1" x14ac:dyDescent="0.15">
      <c r="A688" s="63"/>
      <c r="B688" s="63"/>
      <c r="C688" s="63"/>
      <c r="D688" s="63"/>
      <c r="E688" s="63"/>
      <c r="F688" s="63"/>
      <c r="G688" s="410"/>
      <c r="H688" s="410"/>
      <c r="I688" s="410" t="s">
        <v>1553</v>
      </c>
      <c r="J688" s="410"/>
      <c r="K688" s="410"/>
      <c r="L688" s="410"/>
      <c r="M688" s="410"/>
      <c r="N688" s="410"/>
      <c r="O688" s="63">
        <f t="shared" si="348"/>
        <v>600</v>
      </c>
      <c r="P688" s="410"/>
      <c r="Q688" s="410"/>
      <c r="R688" s="410"/>
      <c r="S688" s="410"/>
      <c r="T688" s="410"/>
      <c r="U688" s="410"/>
      <c r="V688" s="63"/>
      <c r="W688" s="63"/>
      <c r="X688" s="63"/>
      <c r="Y688" s="63"/>
      <c r="Z688" s="63"/>
    </row>
    <row r="689" spans="1:26" hidden="1" x14ac:dyDescent="0.15">
      <c r="A689" s="63"/>
      <c r="B689" s="63"/>
      <c r="C689" s="63"/>
      <c r="D689" s="63"/>
      <c r="E689" s="63"/>
      <c r="F689" s="63"/>
      <c r="G689" s="410"/>
      <c r="H689" s="410"/>
      <c r="I689" s="410" t="s">
        <v>1554</v>
      </c>
      <c r="J689" s="410"/>
      <c r="K689" s="410"/>
      <c r="L689" s="410"/>
      <c r="M689" s="410"/>
      <c r="N689" s="410"/>
      <c r="O689" s="63">
        <f t="shared" si="348"/>
        <v>630</v>
      </c>
      <c r="P689" s="410"/>
      <c r="Q689" s="410"/>
      <c r="R689" s="410"/>
      <c r="S689" s="410"/>
      <c r="T689" s="410"/>
      <c r="U689" s="410"/>
      <c r="V689" s="63"/>
      <c r="W689" s="63"/>
      <c r="X689" s="63"/>
      <c r="Y689" s="63"/>
      <c r="Z689" s="63"/>
    </row>
    <row r="690" spans="1:26" hidden="1" x14ac:dyDescent="0.15">
      <c r="A690" s="63"/>
      <c r="B690" s="63"/>
      <c r="C690" s="63"/>
      <c r="D690" s="63"/>
      <c r="E690" s="63"/>
      <c r="F690" s="63"/>
      <c r="G690" s="410"/>
      <c r="H690" s="410"/>
      <c r="I690" s="410" t="s">
        <v>1555</v>
      </c>
      <c r="J690" s="410"/>
      <c r="K690" s="410"/>
      <c r="L690" s="410"/>
      <c r="M690" s="410"/>
      <c r="N690" s="410"/>
      <c r="O690" s="410"/>
      <c r="P690" s="410"/>
      <c r="Q690" s="410"/>
      <c r="R690" s="410"/>
      <c r="S690" s="410"/>
      <c r="T690" s="410"/>
      <c r="U690" s="410"/>
      <c r="V690" s="63"/>
      <c r="W690" s="63"/>
      <c r="X690" s="63"/>
      <c r="Y690" s="63"/>
      <c r="Z690" s="63"/>
    </row>
    <row r="691" spans="1:26" hidden="1" x14ac:dyDescent="0.15">
      <c r="A691" s="63"/>
      <c r="B691" s="63"/>
      <c r="C691" s="63"/>
      <c r="D691" s="63"/>
      <c r="E691" s="63"/>
      <c r="F691" s="63"/>
      <c r="G691" s="410"/>
      <c r="H691" s="410"/>
      <c r="I691" s="410" t="s">
        <v>1556</v>
      </c>
      <c r="J691" s="410"/>
      <c r="K691" s="410"/>
      <c r="L691" s="410"/>
      <c r="M691" s="410"/>
      <c r="N691" s="410"/>
      <c r="O691" s="410"/>
      <c r="P691" s="410"/>
      <c r="Q691" s="410"/>
      <c r="R691" s="410"/>
      <c r="S691" s="410"/>
      <c r="T691" s="410"/>
      <c r="U691" s="410"/>
      <c r="V691" s="63"/>
      <c r="W691" s="63"/>
      <c r="X691" s="63"/>
      <c r="Y691" s="63"/>
      <c r="Z691" s="63"/>
    </row>
    <row r="692" spans="1:26" hidden="1" x14ac:dyDescent="0.15">
      <c r="A692" s="63"/>
      <c r="B692" s="63"/>
      <c r="C692" s="63"/>
      <c r="D692" s="63"/>
      <c r="E692" s="63"/>
      <c r="F692" s="63"/>
      <c r="G692" s="410"/>
      <c r="H692" s="410"/>
      <c r="I692" s="651" t="s">
        <v>1557</v>
      </c>
      <c r="J692" s="704"/>
      <c r="K692" s="410"/>
      <c r="L692" s="410"/>
      <c r="M692" s="410"/>
      <c r="N692" s="410"/>
      <c r="O692" s="410"/>
      <c r="P692" s="410"/>
      <c r="Q692" s="410"/>
      <c r="R692" s="410"/>
      <c r="S692" s="410"/>
      <c r="T692" s="410"/>
      <c r="U692" s="410"/>
      <c r="V692" s="63"/>
      <c r="W692" s="63"/>
      <c r="X692" s="63"/>
      <c r="Y692" s="63"/>
      <c r="Z692" s="63"/>
    </row>
    <row r="693" spans="1:26" x14ac:dyDescent="0.15">
      <c r="A693" s="63"/>
      <c r="B693" s="63"/>
      <c r="C693" s="63"/>
      <c r="D693" s="63"/>
      <c r="E693" s="63"/>
      <c r="F693" s="63"/>
      <c r="G693" s="410"/>
      <c r="H693" s="410"/>
      <c r="I693" s="410"/>
      <c r="J693" s="410"/>
      <c r="K693" s="410"/>
      <c r="L693" s="410"/>
      <c r="M693" s="410"/>
      <c r="N693" s="410"/>
      <c r="O693" s="410"/>
      <c r="P693" s="410"/>
      <c r="Q693" s="410"/>
      <c r="R693" s="410"/>
      <c r="S693" s="410"/>
      <c r="T693" s="410"/>
      <c r="U693" s="410"/>
      <c r="V693" s="63"/>
      <c r="W693" s="63"/>
      <c r="X693" s="63"/>
      <c r="Y693" s="63"/>
      <c r="Z693" s="63"/>
    </row>
    <row r="694" spans="1:26" x14ac:dyDescent="0.15">
      <c r="A694" s="63"/>
      <c r="B694" s="63"/>
      <c r="C694" s="63"/>
      <c r="D694" s="63"/>
      <c r="E694" s="63"/>
      <c r="F694" s="63"/>
      <c r="G694" s="410"/>
      <c r="H694" s="410"/>
      <c r="I694" s="410"/>
      <c r="J694" s="410"/>
      <c r="K694" s="410"/>
      <c r="L694" s="410"/>
      <c r="M694" s="410"/>
      <c r="N694" s="410"/>
      <c r="O694" s="410"/>
      <c r="P694" s="410"/>
      <c r="Q694" s="410"/>
      <c r="R694" s="410"/>
      <c r="S694" s="410"/>
      <c r="T694" s="410"/>
      <c r="U694" s="410"/>
      <c r="V694" s="63"/>
      <c r="W694" s="63"/>
      <c r="X694" s="63"/>
      <c r="Y694" s="63"/>
      <c r="Z694" s="63"/>
    </row>
    <row r="695" spans="1:26" x14ac:dyDescent="0.15">
      <c r="A695" s="63"/>
      <c r="B695" s="63"/>
      <c r="C695" s="63"/>
      <c r="D695" s="63"/>
      <c r="E695" s="63"/>
      <c r="F695" s="63"/>
      <c r="G695" s="410"/>
      <c r="H695" s="410"/>
      <c r="I695" s="410"/>
      <c r="J695" s="410"/>
      <c r="K695" s="410"/>
      <c r="L695" s="410"/>
      <c r="M695" s="410"/>
      <c r="N695" s="410"/>
      <c r="O695" s="410"/>
      <c r="P695" s="410"/>
      <c r="Q695" s="410"/>
      <c r="R695" s="410"/>
      <c r="S695" s="410"/>
      <c r="T695" s="410"/>
      <c r="U695" s="410"/>
      <c r="V695" s="63"/>
      <c r="W695" s="63"/>
      <c r="X695" s="63"/>
      <c r="Y695" s="63"/>
      <c r="Z695" s="63"/>
    </row>
    <row r="696" spans="1:26" x14ac:dyDescent="0.15">
      <c r="A696" s="63"/>
      <c r="B696" s="63"/>
      <c r="C696" s="63"/>
      <c r="D696" s="63"/>
      <c r="E696" s="63"/>
      <c r="F696" s="63"/>
      <c r="G696" s="410"/>
      <c r="H696" s="410"/>
      <c r="I696" s="410"/>
      <c r="J696" s="410"/>
      <c r="K696" s="410"/>
      <c r="L696" s="410"/>
      <c r="M696" s="410"/>
      <c r="N696" s="410"/>
      <c r="O696" s="410"/>
      <c r="P696" s="410"/>
      <c r="Q696" s="410"/>
      <c r="R696" s="410"/>
      <c r="S696" s="410"/>
      <c r="T696" s="410"/>
      <c r="U696" s="410"/>
      <c r="V696" s="63"/>
      <c r="W696" s="63"/>
      <c r="X696" s="63"/>
      <c r="Y696" s="63"/>
      <c r="Z696" s="63"/>
    </row>
    <row r="697" spans="1:26" x14ac:dyDescent="0.15">
      <c r="B697" s="63"/>
      <c r="C697" s="63"/>
      <c r="D697" s="63"/>
      <c r="E697" s="63"/>
      <c r="F697" s="63"/>
      <c r="G697" s="410"/>
      <c r="H697" s="410"/>
      <c r="I697" s="410"/>
      <c r="J697" s="410"/>
      <c r="K697" s="410"/>
      <c r="L697" s="410"/>
      <c r="M697" s="410"/>
      <c r="N697" s="410"/>
      <c r="O697" s="410"/>
      <c r="P697" s="410"/>
      <c r="Q697" s="410"/>
      <c r="R697" s="410"/>
      <c r="S697" s="410"/>
      <c r="T697" s="410"/>
      <c r="U697" s="410"/>
      <c r="V697" s="63"/>
      <c r="W697" s="63"/>
      <c r="X697" s="63"/>
      <c r="Y697" s="63"/>
      <c r="Z697" s="63"/>
    </row>
    <row r="698" spans="1:26" x14ac:dyDescent="0.15">
      <c r="G698" s="410"/>
      <c r="H698" s="410"/>
      <c r="I698" s="410"/>
      <c r="J698" s="410"/>
      <c r="K698" s="410"/>
      <c r="L698" s="410"/>
      <c r="M698" s="410"/>
      <c r="N698" s="410"/>
      <c r="O698" s="410"/>
      <c r="P698" s="410"/>
      <c r="Q698" s="410"/>
      <c r="R698" s="410"/>
      <c r="S698" s="410"/>
      <c r="T698" s="410"/>
      <c r="U698" s="410"/>
    </row>
    <row r="699" spans="1:26" x14ac:dyDescent="0.15">
      <c r="G699" s="410"/>
      <c r="H699" s="410"/>
      <c r="I699" s="410"/>
      <c r="J699" s="410"/>
      <c r="K699" s="410"/>
      <c r="L699" s="410"/>
      <c r="M699" s="410"/>
      <c r="N699" s="410"/>
      <c r="O699" s="410"/>
      <c r="P699" s="410"/>
      <c r="Q699" s="410"/>
      <c r="R699" s="410"/>
      <c r="S699" s="410"/>
      <c r="T699" s="410"/>
      <c r="U699" s="410"/>
    </row>
    <row r="700" spans="1:26" x14ac:dyDescent="0.15">
      <c r="G700" s="410"/>
      <c r="H700" s="410"/>
      <c r="I700" s="410"/>
      <c r="J700" s="410"/>
      <c r="K700" s="410"/>
      <c r="L700" s="410"/>
      <c r="M700" s="410"/>
      <c r="N700" s="410"/>
      <c r="O700" s="410"/>
      <c r="P700" s="410"/>
      <c r="Q700" s="410"/>
      <c r="R700" s="410"/>
      <c r="S700" s="410"/>
      <c r="T700" s="410"/>
      <c r="U700" s="410"/>
    </row>
    <row r="701" spans="1:26" x14ac:dyDescent="0.15">
      <c r="G701" s="410"/>
      <c r="H701" s="410"/>
      <c r="I701" s="410"/>
      <c r="J701" s="410"/>
      <c r="K701" s="410"/>
      <c r="L701" s="410"/>
      <c r="M701" s="410"/>
      <c r="N701" s="410"/>
      <c r="O701" s="410"/>
      <c r="P701" s="410"/>
      <c r="Q701" s="410"/>
      <c r="R701" s="410"/>
      <c r="S701" s="410"/>
      <c r="T701" s="410"/>
      <c r="U701" s="410"/>
    </row>
    <row r="702" spans="1:26" x14ac:dyDescent="0.15">
      <c r="G702" s="410"/>
      <c r="H702" s="410"/>
      <c r="I702" s="410"/>
      <c r="J702" s="410"/>
      <c r="K702" s="410"/>
      <c r="L702" s="410"/>
      <c r="M702" s="410"/>
      <c r="N702" s="410"/>
      <c r="O702" s="410"/>
      <c r="P702" s="410"/>
      <c r="Q702" s="410"/>
      <c r="R702" s="410"/>
      <c r="S702" s="410"/>
      <c r="T702" s="410"/>
      <c r="U702" s="410"/>
    </row>
    <row r="703" spans="1:26" x14ac:dyDescent="0.15">
      <c r="G703" s="410"/>
      <c r="H703" s="410"/>
      <c r="I703" s="410"/>
      <c r="J703" s="410"/>
      <c r="K703" s="410"/>
      <c r="L703" s="410"/>
      <c r="M703" s="410"/>
      <c r="N703" s="410"/>
      <c r="O703" s="410"/>
      <c r="P703" s="410"/>
      <c r="Q703" s="410"/>
      <c r="R703" s="410"/>
      <c r="S703" s="410"/>
      <c r="T703" s="410"/>
      <c r="U703" s="410"/>
    </row>
    <row r="704" spans="1:26" x14ac:dyDescent="0.15">
      <c r="G704" s="410"/>
      <c r="H704" s="410"/>
      <c r="I704" s="410"/>
      <c r="J704" s="410"/>
      <c r="K704" s="410"/>
      <c r="L704" s="410"/>
      <c r="M704" s="410"/>
      <c r="N704" s="410"/>
      <c r="O704" s="410"/>
      <c r="P704" s="410"/>
      <c r="Q704" s="410"/>
      <c r="R704" s="410"/>
      <c r="S704" s="410"/>
      <c r="T704" s="410"/>
      <c r="U704" s="410"/>
    </row>
    <row r="705" spans="7:21" x14ac:dyDescent="0.15">
      <c r="G705" s="410"/>
      <c r="H705" s="410"/>
      <c r="I705" s="410"/>
      <c r="J705" s="410"/>
      <c r="K705" s="410"/>
      <c r="L705" s="410"/>
      <c r="M705" s="410"/>
      <c r="N705" s="410"/>
      <c r="O705" s="410"/>
      <c r="P705" s="410"/>
      <c r="Q705" s="410"/>
      <c r="R705" s="410"/>
      <c r="S705" s="410"/>
      <c r="T705" s="410"/>
      <c r="U705" s="410"/>
    </row>
    <row r="706" spans="7:21" x14ac:dyDescent="0.15">
      <c r="G706" s="410"/>
      <c r="H706" s="410"/>
      <c r="I706" s="410"/>
      <c r="J706" s="410"/>
      <c r="K706" s="410"/>
      <c r="L706" s="410"/>
      <c r="M706" s="410"/>
      <c r="N706" s="410"/>
      <c r="O706" s="410"/>
      <c r="P706" s="410"/>
      <c r="Q706" s="410"/>
      <c r="R706" s="410"/>
      <c r="S706" s="410"/>
      <c r="T706" s="410"/>
      <c r="U706" s="410"/>
    </row>
    <row r="707" spans="7:21" x14ac:dyDescent="0.15">
      <c r="G707" s="410"/>
      <c r="H707" s="410"/>
      <c r="I707" s="410"/>
      <c r="J707" s="410"/>
      <c r="K707" s="410"/>
      <c r="L707" s="410"/>
      <c r="M707" s="410"/>
      <c r="N707" s="410"/>
      <c r="O707" s="410"/>
      <c r="P707" s="410"/>
      <c r="Q707" s="410"/>
      <c r="R707" s="410"/>
      <c r="S707" s="410"/>
      <c r="T707" s="410"/>
      <c r="U707" s="410"/>
    </row>
    <row r="708" spans="7:21" x14ac:dyDescent="0.15">
      <c r="G708" s="410"/>
      <c r="H708" s="410"/>
      <c r="I708" s="410"/>
      <c r="J708" s="410"/>
      <c r="K708" s="410"/>
      <c r="L708" s="410"/>
      <c r="M708" s="410"/>
      <c r="N708" s="410"/>
      <c r="O708" s="410"/>
      <c r="P708" s="410"/>
      <c r="Q708" s="410"/>
      <c r="R708" s="410"/>
      <c r="S708" s="410"/>
      <c r="T708" s="410"/>
      <c r="U708" s="410"/>
    </row>
    <row r="709" spans="7:21" x14ac:dyDescent="0.15">
      <c r="G709" s="410"/>
      <c r="H709" s="410"/>
      <c r="I709" s="410"/>
      <c r="J709" s="410"/>
      <c r="K709" s="410"/>
      <c r="L709" s="410"/>
      <c r="M709" s="410"/>
      <c r="N709" s="410"/>
      <c r="O709" s="410"/>
      <c r="P709" s="410"/>
      <c r="Q709" s="410"/>
      <c r="R709" s="410"/>
      <c r="S709" s="410"/>
      <c r="T709" s="410"/>
      <c r="U709" s="410"/>
    </row>
    <row r="710" spans="7:21" x14ac:dyDescent="0.15">
      <c r="G710" s="410"/>
      <c r="H710" s="410"/>
      <c r="I710" s="410"/>
      <c r="J710" s="410"/>
      <c r="K710" s="410"/>
      <c r="L710" s="410"/>
      <c r="M710" s="410"/>
      <c r="N710" s="410"/>
      <c r="O710" s="410"/>
      <c r="P710" s="410"/>
      <c r="Q710" s="410"/>
      <c r="R710" s="410"/>
      <c r="S710" s="410"/>
      <c r="T710" s="410"/>
      <c r="U710" s="410"/>
    </row>
    <row r="711" spans="7:21" x14ac:dyDescent="0.15">
      <c r="G711" s="410"/>
      <c r="H711" s="410"/>
      <c r="I711" s="410"/>
      <c r="J711" s="410"/>
      <c r="K711" s="410"/>
      <c r="L711" s="410"/>
      <c r="M711" s="410"/>
      <c r="N711" s="410"/>
      <c r="O711" s="410"/>
      <c r="P711" s="410"/>
      <c r="Q711" s="410"/>
      <c r="R711" s="410"/>
      <c r="S711" s="410"/>
      <c r="T711" s="410"/>
      <c r="U711" s="410"/>
    </row>
    <row r="712" spans="7:21" x14ac:dyDescent="0.15">
      <c r="G712" s="410"/>
      <c r="H712" s="410"/>
      <c r="I712" s="410"/>
      <c r="J712" s="410"/>
      <c r="K712" s="410"/>
      <c r="L712" s="410"/>
      <c r="M712" s="410"/>
      <c r="N712" s="410"/>
      <c r="O712" s="410"/>
      <c r="P712" s="410"/>
      <c r="Q712" s="410"/>
      <c r="R712" s="410"/>
      <c r="S712" s="410"/>
      <c r="T712" s="410"/>
      <c r="U712" s="410"/>
    </row>
    <row r="713" spans="7:21" x14ac:dyDescent="0.15">
      <c r="G713" s="410"/>
      <c r="H713" s="410"/>
      <c r="I713" s="410"/>
      <c r="J713" s="410"/>
      <c r="K713" s="410"/>
      <c r="L713" s="410"/>
      <c r="M713" s="410"/>
      <c r="N713" s="410"/>
      <c r="O713" s="410"/>
      <c r="P713" s="410"/>
      <c r="Q713" s="410"/>
      <c r="R713" s="410"/>
      <c r="S713" s="410"/>
      <c r="T713" s="410"/>
      <c r="U713" s="410"/>
    </row>
    <row r="714" spans="7:21" x14ac:dyDescent="0.15">
      <c r="G714" s="410"/>
      <c r="H714" s="410"/>
      <c r="I714" s="410"/>
      <c r="J714" s="410"/>
      <c r="K714" s="410"/>
      <c r="L714" s="410"/>
      <c r="M714" s="410"/>
      <c r="N714" s="410"/>
      <c r="O714" s="410"/>
      <c r="P714" s="410"/>
      <c r="Q714" s="410"/>
      <c r="R714" s="410"/>
      <c r="S714" s="410"/>
      <c r="T714" s="410"/>
      <c r="U714" s="410"/>
    </row>
    <row r="715" spans="7:21" x14ac:dyDescent="0.15">
      <c r="G715" s="410"/>
      <c r="H715" s="410"/>
      <c r="I715" s="410"/>
      <c r="J715" s="410"/>
      <c r="K715" s="410"/>
      <c r="L715" s="410"/>
      <c r="M715" s="410"/>
      <c r="N715" s="410"/>
      <c r="O715" s="410"/>
      <c r="P715" s="410"/>
      <c r="Q715" s="410"/>
      <c r="R715" s="410"/>
      <c r="S715" s="410"/>
      <c r="T715" s="410"/>
      <c r="U715" s="410"/>
    </row>
    <row r="716" spans="7:21" x14ac:dyDescent="0.15">
      <c r="G716" s="410"/>
      <c r="H716" s="410"/>
      <c r="I716" s="410"/>
      <c r="J716" s="410"/>
      <c r="K716" s="410"/>
      <c r="L716" s="410"/>
      <c r="M716" s="410"/>
      <c r="N716" s="410"/>
      <c r="O716" s="410"/>
      <c r="P716" s="410"/>
      <c r="Q716" s="410"/>
      <c r="R716" s="410"/>
      <c r="S716" s="410"/>
      <c r="T716" s="410"/>
      <c r="U716" s="410"/>
    </row>
    <row r="717" spans="7:21" x14ac:dyDescent="0.15">
      <c r="G717" s="410"/>
      <c r="H717" s="410"/>
      <c r="I717" s="410"/>
      <c r="J717" s="410"/>
      <c r="K717" s="410"/>
      <c r="L717" s="410"/>
      <c r="M717" s="410"/>
      <c r="N717" s="410"/>
      <c r="O717" s="410"/>
      <c r="P717" s="410"/>
      <c r="Q717" s="410"/>
      <c r="R717" s="410"/>
      <c r="S717" s="410"/>
      <c r="T717" s="410"/>
      <c r="U717" s="410"/>
    </row>
    <row r="718" spans="7:21" x14ac:dyDescent="0.15">
      <c r="G718" s="410"/>
      <c r="H718" s="410"/>
      <c r="I718" s="410"/>
      <c r="J718" s="410"/>
      <c r="K718" s="410"/>
      <c r="L718" s="410"/>
      <c r="M718" s="410"/>
      <c r="N718" s="410"/>
      <c r="O718" s="410"/>
      <c r="P718" s="410"/>
      <c r="Q718" s="410"/>
      <c r="R718" s="410"/>
      <c r="S718" s="410"/>
      <c r="T718" s="410"/>
      <c r="U718" s="410"/>
    </row>
    <row r="719" spans="7:21" x14ac:dyDescent="0.15">
      <c r="G719" s="410"/>
      <c r="H719" s="410"/>
      <c r="I719" s="410"/>
      <c r="J719" s="410"/>
      <c r="K719" s="410"/>
      <c r="L719" s="410"/>
      <c r="M719" s="410"/>
      <c r="N719" s="410"/>
      <c r="O719" s="410"/>
      <c r="P719" s="410"/>
      <c r="Q719" s="410"/>
      <c r="R719" s="410"/>
      <c r="S719" s="410"/>
      <c r="T719" s="410"/>
      <c r="U719" s="410"/>
    </row>
    <row r="720" spans="7:21" x14ac:dyDescent="0.15">
      <c r="G720" s="410"/>
      <c r="H720" s="410"/>
      <c r="I720" s="410"/>
      <c r="J720" s="410"/>
      <c r="K720" s="410"/>
      <c r="L720" s="410"/>
      <c r="M720" s="410"/>
      <c r="N720" s="410"/>
      <c r="O720" s="410"/>
      <c r="P720" s="410"/>
      <c r="Q720" s="410"/>
      <c r="R720" s="410"/>
      <c r="S720" s="410"/>
      <c r="T720" s="410"/>
      <c r="U720" s="410"/>
    </row>
    <row r="721" spans="7:21" x14ac:dyDescent="0.15">
      <c r="G721" s="410"/>
      <c r="H721" s="410"/>
      <c r="I721" s="410"/>
      <c r="J721" s="410"/>
      <c r="K721" s="410"/>
      <c r="L721" s="410"/>
      <c r="M721" s="410"/>
      <c r="N721" s="410"/>
      <c r="O721" s="410"/>
      <c r="P721" s="410"/>
      <c r="Q721" s="410"/>
      <c r="R721" s="410"/>
      <c r="S721" s="410"/>
      <c r="T721" s="410"/>
      <c r="U721" s="410"/>
    </row>
    <row r="722" spans="7:21" x14ac:dyDescent="0.15">
      <c r="G722" s="410"/>
      <c r="H722" s="410"/>
      <c r="I722" s="410"/>
      <c r="J722" s="410"/>
      <c r="K722" s="410"/>
      <c r="L722" s="410"/>
      <c r="M722" s="410"/>
      <c r="N722" s="410"/>
      <c r="O722" s="410"/>
      <c r="P722" s="410"/>
      <c r="Q722" s="410"/>
      <c r="R722" s="410"/>
      <c r="S722" s="410"/>
      <c r="T722" s="410"/>
      <c r="U722" s="410"/>
    </row>
    <row r="723" spans="7:21" x14ac:dyDescent="0.15">
      <c r="G723" s="410"/>
      <c r="H723" s="410"/>
      <c r="I723" s="410"/>
      <c r="J723" s="410"/>
      <c r="K723" s="410"/>
      <c r="L723" s="410"/>
      <c r="M723" s="410"/>
      <c r="N723" s="410"/>
      <c r="O723" s="410"/>
      <c r="P723" s="410"/>
      <c r="Q723" s="410"/>
      <c r="R723" s="410"/>
      <c r="S723" s="410"/>
      <c r="T723" s="410"/>
      <c r="U723" s="410"/>
    </row>
    <row r="724" spans="7:21" x14ac:dyDescent="0.15">
      <c r="G724" s="410"/>
      <c r="H724" s="410"/>
      <c r="I724" s="410"/>
      <c r="J724" s="410"/>
      <c r="K724" s="410"/>
      <c r="L724" s="410"/>
      <c r="M724" s="410"/>
      <c r="N724" s="410"/>
      <c r="O724" s="410"/>
      <c r="P724" s="410"/>
      <c r="Q724" s="410"/>
      <c r="R724" s="410"/>
      <c r="S724" s="410"/>
      <c r="T724" s="410"/>
      <c r="U724" s="410"/>
    </row>
    <row r="725" spans="7:21" x14ac:dyDescent="0.15">
      <c r="G725" s="410"/>
      <c r="H725" s="410"/>
      <c r="I725" s="410"/>
      <c r="J725" s="410"/>
      <c r="K725" s="410"/>
      <c r="L725" s="410"/>
      <c r="M725" s="410"/>
      <c r="N725" s="410"/>
      <c r="O725" s="410"/>
      <c r="P725" s="410"/>
      <c r="Q725" s="410"/>
      <c r="R725" s="410"/>
      <c r="S725" s="410"/>
      <c r="T725" s="410"/>
      <c r="U725" s="410"/>
    </row>
    <row r="726" spans="7:21" x14ac:dyDescent="0.15">
      <c r="G726" s="410"/>
      <c r="H726" s="410"/>
      <c r="I726" s="410"/>
      <c r="J726" s="410"/>
      <c r="K726" s="410"/>
      <c r="L726" s="410"/>
      <c r="M726" s="410"/>
      <c r="N726" s="410"/>
      <c r="O726" s="410"/>
      <c r="P726" s="410"/>
      <c r="Q726" s="410"/>
      <c r="R726" s="410"/>
      <c r="S726" s="410"/>
      <c r="T726" s="410"/>
      <c r="U726" s="410"/>
    </row>
    <row r="727" spans="7:21" x14ac:dyDescent="0.15">
      <c r="G727" s="410"/>
      <c r="H727" s="410"/>
      <c r="I727" s="410"/>
      <c r="J727" s="410"/>
      <c r="K727" s="410"/>
      <c r="L727" s="410"/>
      <c r="M727" s="410"/>
      <c r="N727" s="410"/>
      <c r="O727" s="410"/>
      <c r="P727" s="410"/>
      <c r="Q727" s="410"/>
      <c r="R727" s="410"/>
      <c r="S727" s="410"/>
      <c r="T727" s="410"/>
      <c r="U727" s="410"/>
    </row>
    <row r="728" spans="7:21" x14ac:dyDescent="0.15">
      <c r="G728" s="410"/>
      <c r="H728" s="410"/>
      <c r="I728" s="410"/>
      <c r="J728" s="410"/>
      <c r="K728" s="410"/>
      <c r="L728" s="410"/>
      <c r="M728" s="410"/>
      <c r="N728" s="410"/>
      <c r="O728" s="410"/>
      <c r="P728" s="410"/>
      <c r="Q728" s="410"/>
      <c r="R728" s="410"/>
      <c r="S728" s="410"/>
      <c r="T728" s="410"/>
      <c r="U728" s="410"/>
    </row>
    <row r="729" spans="7:21" x14ac:dyDescent="0.15">
      <c r="G729" s="410"/>
      <c r="H729" s="410"/>
      <c r="I729" s="410"/>
      <c r="J729" s="410"/>
      <c r="K729" s="410"/>
      <c r="L729" s="410"/>
      <c r="M729" s="410"/>
      <c r="N729" s="410"/>
      <c r="O729" s="410"/>
      <c r="P729" s="410"/>
      <c r="Q729" s="410"/>
      <c r="R729" s="410"/>
      <c r="S729" s="410"/>
      <c r="T729" s="410"/>
      <c r="U729" s="410"/>
    </row>
    <row r="730" spans="7:21" x14ac:dyDescent="0.15">
      <c r="G730" s="410"/>
      <c r="H730" s="410"/>
      <c r="I730" s="410"/>
      <c r="J730" s="410"/>
      <c r="K730" s="410"/>
      <c r="L730" s="410"/>
      <c r="M730" s="410"/>
      <c r="N730" s="410"/>
      <c r="O730" s="410"/>
      <c r="P730" s="410"/>
      <c r="Q730" s="410"/>
      <c r="R730" s="410"/>
      <c r="S730" s="410"/>
      <c r="T730" s="410"/>
      <c r="U730" s="410"/>
    </row>
    <row r="731" spans="7:21" x14ac:dyDescent="0.15">
      <c r="G731" s="410"/>
      <c r="H731" s="410"/>
      <c r="I731" s="410"/>
      <c r="J731" s="410"/>
      <c r="K731" s="410"/>
      <c r="L731" s="410"/>
      <c r="M731" s="410"/>
      <c r="N731" s="410"/>
      <c r="O731" s="410"/>
      <c r="P731" s="410"/>
      <c r="Q731" s="410"/>
      <c r="R731" s="410"/>
      <c r="S731" s="410"/>
      <c r="T731" s="410"/>
      <c r="U731" s="410"/>
    </row>
    <row r="732" spans="7:21" x14ac:dyDescent="0.15">
      <c r="G732" s="410"/>
      <c r="H732" s="410"/>
      <c r="I732" s="410"/>
      <c r="J732" s="410"/>
      <c r="K732" s="410"/>
      <c r="L732" s="410"/>
      <c r="M732" s="410"/>
      <c r="N732" s="410"/>
      <c r="O732" s="410"/>
      <c r="P732" s="410"/>
      <c r="Q732" s="410"/>
      <c r="R732" s="410"/>
      <c r="S732" s="410"/>
      <c r="T732" s="410"/>
      <c r="U732" s="410"/>
    </row>
    <row r="733" spans="7:21" x14ac:dyDescent="0.15">
      <c r="G733" s="410"/>
      <c r="H733" s="410"/>
      <c r="I733" s="410"/>
      <c r="J733" s="410"/>
      <c r="K733" s="410"/>
      <c r="L733" s="410"/>
      <c r="M733" s="410"/>
      <c r="N733" s="410"/>
      <c r="O733" s="410"/>
      <c r="P733" s="410"/>
      <c r="Q733" s="410"/>
      <c r="R733" s="410"/>
      <c r="S733" s="410"/>
      <c r="T733" s="410"/>
      <c r="U733" s="410"/>
    </row>
    <row r="734" spans="7:21" x14ac:dyDescent="0.15">
      <c r="G734" s="410"/>
      <c r="H734" s="410"/>
      <c r="I734" s="410"/>
      <c r="J734" s="410"/>
      <c r="K734" s="410"/>
      <c r="L734" s="410"/>
      <c r="M734" s="410"/>
      <c r="N734" s="410"/>
      <c r="O734" s="410"/>
      <c r="P734" s="410"/>
      <c r="Q734" s="410"/>
      <c r="R734" s="410"/>
      <c r="S734" s="410"/>
      <c r="T734" s="410"/>
      <c r="U734" s="410"/>
    </row>
    <row r="735" spans="7:21" x14ac:dyDescent="0.15">
      <c r="G735" s="410"/>
      <c r="H735" s="410"/>
      <c r="I735" s="410"/>
      <c r="J735" s="410"/>
      <c r="K735" s="410"/>
      <c r="L735" s="410"/>
      <c r="M735" s="410"/>
      <c r="N735" s="410"/>
      <c r="O735" s="410"/>
      <c r="P735" s="410"/>
      <c r="Q735" s="410"/>
      <c r="R735" s="410"/>
      <c r="S735" s="410"/>
      <c r="T735" s="410"/>
      <c r="U735" s="410"/>
    </row>
    <row r="736" spans="7:21" x14ac:dyDescent="0.15">
      <c r="G736" s="410"/>
      <c r="H736" s="410"/>
      <c r="I736" s="410"/>
      <c r="J736" s="410"/>
      <c r="K736" s="410"/>
      <c r="L736" s="410"/>
      <c r="M736" s="410"/>
      <c r="N736" s="410"/>
      <c r="O736" s="410"/>
      <c r="P736" s="410"/>
      <c r="Q736" s="410"/>
      <c r="R736" s="410"/>
      <c r="S736" s="410"/>
      <c r="T736" s="410"/>
      <c r="U736" s="410"/>
    </row>
    <row r="737" spans="7:21" x14ac:dyDescent="0.15">
      <c r="G737" s="410"/>
      <c r="H737" s="410"/>
      <c r="I737" s="410"/>
      <c r="J737" s="410"/>
      <c r="K737" s="410"/>
      <c r="L737" s="410"/>
      <c r="M737" s="410"/>
      <c r="N737" s="410"/>
      <c r="O737" s="410"/>
      <c r="P737" s="410"/>
      <c r="Q737" s="410"/>
      <c r="R737" s="410"/>
      <c r="S737" s="410"/>
      <c r="T737" s="410"/>
      <c r="U737" s="410"/>
    </row>
    <row r="738" spans="7:21" x14ac:dyDescent="0.15">
      <c r="G738" s="410"/>
      <c r="H738" s="410"/>
      <c r="I738" s="410"/>
      <c r="J738" s="410"/>
      <c r="K738" s="410"/>
      <c r="L738" s="410"/>
      <c r="M738" s="410"/>
      <c r="N738" s="410"/>
      <c r="O738" s="410"/>
      <c r="P738" s="410"/>
      <c r="Q738" s="410"/>
      <c r="R738" s="410"/>
      <c r="S738" s="410"/>
      <c r="T738" s="410"/>
      <c r="U738" s="410"/>
    </row>
    <row r="739" spans="7:21" x14ac:dyDescent="0.15">
      <c r="G739" s="410"/>
      <c r="H739" s="410"/>
      <c r="I739" s="410"/>
      <c r="J739" s="410"/>
      <c r="K739" s="410"/>
      <c r="L739" s="410"/>
      <c r="M739" s="410"/>
      <c r="N739" s="410"/>
      <c r="O739" s="410"/>
      <c r="P739" s="410"/>
      <c r="Q739" s="410"/>
      <c r="R739" s="410"/>
      <c r="S739" s="410"/>
      <c r="T739" s="410"/>
      <c r="U739" s="410"/>
    </row>
    <row r="740" spans="7:21" x14ac:dyDescent="0.15">
      <c r="G740" s="410"/>
      <c r="H740" s="410"/>
      <c r="I740" s="410"/>
      <c r="J740" s="410"/>
      <c r="K740" s="410"/>
      <c r="L740" s="410"/>
      <c r="M740" s="410"/>
      <c r="N740" s="410"/>
      <c r="O740" s="410"/>
      <c r="P740" s="410"/>
      <c r="Q740" s="410"/>
      <c r="R740" s="410"/>
      <c r="S740" s="410"/>
      <c r="T740" s="410"/>
      <c r="U740" s="410"/>
    </row>
    <row r="741" spans="7:21" x14ac:dyDescent="0.15">
      <c r="G741" s="410"/>
      <c r="H741" s="410"/>
      <c r="I741" s="410"/>
      <c r="J741" s="410"/>
      <c r="K741" s="410"/>
      <c r="L741" s="410"/>
      <c r="M741" s="410"/>
      <c r="N741" s="410"/>
      <c r="O741" s="410"/>
      <c r="P741" s="410"/>
      <c r="Q741" s="410"/>
      <c r="R741" s="410"/>
      <c r="S741" s="410"/>
      <c r="T741" s="410"/>
      <c r="U741" s="410"/>
    </row>
    <row r="742" spans="7:21" x14ac:dyDescent="0.15">
      <c r="G742" s="410"/>
      <c r="H742" s="410"/>
      <c r="I742" s="410"/>
      <c r="J742" s="410"/>
      <c r="K742" s="410"/>
      <c r="L742" s="410"/>
      <c r="M742" s="410"/>
      <c r="N742" s="410"/>
      <c r="O742" s="410"/>
      <c r="P742" s="410"/>
      <c r="Q742" s="410"/>
      <c r="R742" s="410"/>
      <c r="S742" s="410"/>
      <c r="T742" s="410"/>
      <c r="U742" s="410"/>
    </row>
    <row r="743" spans="7:21" x14ac:dyDescent="0.15">
      <c r="G743" s="410"/>
      <c r="H743" s="410"/>
      <c r="I743" s="410"/>
      <c r="J743" s="410"/>
      <c r="K743" s="410"/>
      <c r="L743" s="410"/>
      <c r="M743" s="410"/>
      <c r="N743" s="410"/>
      <c r="O743" s="410"/>
      <c r="P743" s="410"/>
      <c r="Q743" s="410"/>
      <c r="R743" s="410"/>
      <c r="S743" s="410"/>
      <c r="T743" s="410"/>
      <c r="U743" s="410"/>
    </row>
    <row r="744" spans="7:21" x14ac:dyDescent="0.15">
      <c r="G744" s="410"/>
      <c r="H744" s="410"/>
      <c r="I744" s="410"/>
      <c r="J744" s="410"/>
      <c r="K744" s="410"/>
      <c r="L744" s="410"/>
      <c r="M744" s="410"/>
      <c r="N744" s="410"/>
      <c r="O744" s="410"/>
      <c r="P744" s="410"/>
      <c r="Q744" s="410"/>
      <c r="R744" s="410"/>
      <c r="S744" s="410"/>
      <c r="T744" s="410"/>
      <c r="U744" s="410"/>
    </row>
    <row r="745" spans="7:21" x14ac:dyDescent="0.15">
      <c r="G745" s="410"/>
      <c r="H745" s="410"/>
      <c r="I745" s="410"/>
      <c r="J745" s="410"/>
      <c r="K745" s="410"/>
      <c r="L745" s="410"/>
      <c r="M745" s="410"/>
      <c r="N745" s="410"/>
      <c r="O745" s="410"/>
      <c r="P745" s="410"/>
      <c r="Q745" s="410"/>
      <c r="R745" s="410"/>
      <c r="S745" s="410"/>
      <c r="T745" s="410"/>
      <c r="U745" s="410"/>
    </row>
    <row r="746" spans="7:21" x14ac:dyDescent="0.15">
      <c r="G746" s="410"/>
      <c r="H746" s="410"/>
      <c r="I746" s="410"/>
      <c r="J746" s="410"/>
      <c r="K746" s="410"/>
      <c r="L746" s="410"/>
      <c r="M746" s="410"/>
      <c r="N746" s="410"/>
      <c r="O746" s="410"/>
      <c r="P746" s="410"/>
      <c r="Q746" s="410"/>
      <c r="R746" s="410"/>
      <c r="S746" s="410"/>
      <c r="T746" s="410"/>
      <c r="U746" s="410"/>
    </row>
    <row r="747" spans="7:21" x14ac:dyDescent="0.15">
      <c r="G747" s="410"/>
      <c r="H747" s="410"/>
      <c r="I747" s="410"/>
      <c r="J747" s="410"/>
      <c r="K747" s="410"/>
      <c r="L747" s="410"/>
      <c r="M747" s="410"/>
      <c r="N747" s="410"/>
      <c r="O747" s="410"/>
      <c r="P747" s="410"/>
      <c r="Q747" s="410"/>
      <c r="R747" s="410"/>
      <c r="S747" s="410"/>
      <c r="T747" s="410"/>
      <c r="U747" s="410"/>
    </row>
    <row r="748" spans="7:21" x14ac:dyDescent="0.15">
      <c r="G748" s="410"/>
      <c r="H748" s="410"/>
      <c r="I748" s="410"/>
      <c r="J748" s="410"/>
      <c r="K748" s="410"/>
      <c r="L748" s="410"/>
      <c r="M748" s="410"/>
      <c r="N748" s="410"/>
      <c r="O748" s="410"/>
      <c r="P748" s="410"/>
      <c r="Q748" s="410"/>
      <c r="R748" s="410"/>
      <c r="S748" s="410"/>
      <c r="T748" s="410"/>
      <c r="U748" s="410"/>
    </row>
    <row r="749" spans="7:21" x14ac:dyDescent="0.15">
      <c r="G749" s="410"/>
      <c r="H749" s="410"/>
      <c r="I749" s="410"/>
      <c r="J749" s="410"/>
      <c r="K749" s="410"/>
      <c r="L749" s="410"/>
      <c r="M749" s="410"/>
      <c r="N749" s="410"/>
      <c r="O749" s="410"/>
      <c r="P749" s="410"/>
      <c r="Q749" s="410"/>
      <c r="R749" s="410"/>
      <c r="S749" s="410"/>
      <c r="T749" s="410"/>
      <c r="U749" s="410"/>
    </row>
    <row r="750" spans="7:21" x14ac:dyDescent="0.15">
      <c r="G750" s="410"/>
      <c r="H750" s="410"/>
      <c r="I750" s="410"/>
      <c r="J750" s="410"/>
      <c r="K750" s="410"/>
      <c r="L750" s="410"/>
      <c r="M750" s="410"/>
      <c r="N750" s="410"/>
      <c r="O750" s="410"/>
      <c r="P750" s="410"/>
      <c r="Q750" s="410"/>
      <c r="R750" s="410"/>
      <c r="S750" s="410"/>
      <c r="T750" s="410"/>
      <c r="U750" s="410"/>
    </row>
    <row r="751" spans="7:21" x14ac:dyDescent="0.15">
      <c r="G751" s="410"/>
      <c r="H751" s="410"/>
      <c r="I751" s="410"/>
      <c r="J751" s="410"/>
      <c r="K751" s="410"/>
      <c r="L751" s="410"/>
      <c r="M751" s="410"/>
      <c r="N751" s="410"/>
      <c r="O751" s="410"/>
      <c r="P751" s="410"/>
      <c r="Q751" s="410"/>
      <c r="R751" s="410"/>
      <c r="S751" s="410"/>
      <c r="T751" s="410"/>
      <c r="U751" s="410"/>
    </row>
    <row r="752" spans="7:21" x14ac:dyDescent="0.15">
      <c r="G752" s="410"/>
      <c r="H752" s="410"/>
      <c r="I752" s="410"/>
      <c r="J752" s="410"/>
      <c r="K752" s="410"/>
      <c r="L752" s="410"/>
      <c r="M752" s="410"/>
      <c r="N752" s="410"/>
      <c r="O752" s="410"/>
      <c r="P752" s="410"/>
      <c r="Q752" s="410"/>
      <c r="R752" s="410"/>
      <c r="S752" s="410"/>
      <c r="T752" s="410"/>
      <c r="U752" s="410"/>
    </row>
    <row r="753" spans="7:21" x14ac:dyDescent="0.15">
      <c r="G753" s="410"/>
      <c r="H753" s="410"/>
      <c r="I753" s="410"/>
      <c r="J753" s="410"/>
      <c r="K753" s="410"/>
      <c r="L753" s="410"/>
      <c r="M753" s="410"/>
      <c r="N753" s="410"/>
      <c r="O753" s="410"/>
      <c r="P753" s="410"/>
      <c r="Q753" s="410"/>
      <c r="R753" s="410"/>
      <c r="S753" s="410"/>
      <c r="T753" s="410"/>
      <c r="U753" s="410"/>
    </row>
    <row r="754" spans="7:21" x14ac:dyDescent="0.15">
      <c r="G754" s="410"/>
      <c r="H754" s="410"/>
      <c r="I754" s="410"/>
      <c r="J754" s="410"/>
      <c r="K754" s="410"/>
      <c r="L754" s="410"/>
      <c r="M754" s="410"/>
      <c r="N754" s="410"/>
      <c r="O754" s="410"/>
      <c r="P754" s="410"/>
      <c r="Q754" s="410"/>
      <c r="R754" s="410"/>
      <c r="S754" s="410"/>
      <c r="T754" s="410"/>
      <c r="U754" s="410"/>
    </row>
    <row r="755" spans="7:21" x14ac:dyDescent="0.15">
      <c r="G755" s="410"/>
      <c r="H755" s="410"/>
      <c r="I755" s="410"/>
      <c r="J755" s="410"/>
      <c r="K755" s="410"/>
      <c r="L755" s="410"/>
      <c r="M755" s="410"/>
      <c r="N755" s="410"/>
      <c r="O755" s="410"/>
      <c r="P755" s="410"/>
      <c r="Q755" s="410"/>
      <c r="R755" s="410"/>
      <c r="S755" s="410"/>
      <c r="T755" s="410"/>
      <c r="U755" s="410"/>
    </row>
    <row r="756" spans="7:21" x14ac:dyDescent="0.15">
      <c r="G756" s="410"/>
      <c r="H756" s="410"/>
      <c r="I756" s="410"/>
      <c r="J756" s="410"/>
      <c r="K756" s="410"/>
      <c r="L756" s="410"/>
      <c r="M756" s="410"/>
      <c r="N756" s="410"/>
      <c r="O756" s="410"/>
      <c r="P756" s="410"/>
      <c r="Q756" s="410"/>
      <c r="R756" s="410"/>
      <c r="S756" s="410"/>
      <c r="T756" s="410"/>
      <c r="U756" s="410"/>
    </row>
    <row r="757" spans="7:21" x14ac:dyDescent="0.15">
      <c r="G757" s="410"/>
      <c r="H757" s="410"/>
      <c r="I757" s="410"/>
      <c r="J757" s="410"/>
      <c r="K757" s="410"/>
      <c r="L757" s="410"/>
      <c r="M757" s="410"/>
      <c r="N757" s="410"/>
      <c r="O757" s="410"/>
      <c r="P757" s="410"/>
      <c r="Q757" s="410"/>
      <c r="R757" s="410"/>
      <c r="S757" s="410"/>
      <c r="T757" s="410"/>
      <c r="U757" s="410"/>
    </row>
    <row r="758" spans="7:21" x14ac:dyDescent="0.15">
      <c r="G758" s="410"/>
      <c r="H758" s="410"/>
      <c r="I758" s="410"/>
      <c r="J758" s="410"/>
      <c r="K758" s="410"/>
      <c r="L758" s="410"/>
      <c r="M758" s="410"/>
      <c r="N758" s="410"/>
      <c r="O758" s="410"/>
      <c r="P758" s="410"/>
      <c r="Q758" s="410"/>
      <c r="R758" s="410"/>
      <c r="S758" s="410"/>
      <c r="T758" s="410"/>
      <c r="U758" s="410"/>
    </row>
    <row r="759" spans="7:21" x14ac:dyDescent="0.15">
      <c r="G759" s="410"/>
      <c r="H759" s="410"/>
      <c r="I759" s="410"/>
      <c r="J759" s="410"/>
      <c r="K759" s="410"/>
      <c r="L759" s="410"/>
      <c r="M759" s="410"/>
      <c r="N759" s="410"/>
      <c r="O759" s="410"/>
      <c r="P759" s="410"/>
      <c r="Q759" s="410"/>
      <c r="R759" s="410"/>
      <c r="S759" s="410"/>
      <c r="T759" s="410"/>
      <c r="U759" s="410"/>
    </row>
    <row r="760" spans="7:21" x14ac:dyDescent="0.15">
      <c r="G760" s="410"/>
      <c r="H760" s="410"/>
      <c r="I760" s="410"/>
      <c r="J760" s="410"/>
      <c r="K760" s="410"/>
      <c r="L760" s="410"/>
      <c r="M760" s="410"/>
      <c r="N760" s="410"/>
      <c r="O760" s="410"/>
      <c r="P760" s="410"/>
      <c r="Q760" s="410"/>
      <c r="R760" s="410"/>
      <c r="S760" s="410"/>
      <c r="T760" s="410"/>
      <c r="U760" s="410"/>
    </row>
    <row r="761" spans="7:21" x14ac:dyDescent="0.15">
      <c r="G761" s="410"/>
      <c r="H761" s="410"/>
      <c r="I761" s="410"/>
      <c r="J761" s="410"/>
      <c r="K761" s="410"/>
      <c r="L761" s="410"/>
      <c r="M761" s="410"/>
      <c r="N761" s="410"/>
      <c r="O761" s="410"/>
      <c r="P761" s="410"/>
      <c r="Q761" s="410"/>
      <c r="R761" s="410"/>
      <c r="S761" s="410"/>
      <c r="T761" s="410"/>
      <c r="U761" s="410"/>
    </row>
    <row r="762" spans="7:21" x14ac:dyDescent="0.15">
      <c r="G762" s="410"/>
      <c r="H762" s="410"/>
      <c r="I762" s="410"/>
      <c r="J762" s="410"/>
      <c r="K762" s="410"/>
      <c r="L762" s="410"/>
      <c r="M762" s="410"/>
      <c r="N762" s="410"/>
      <c r="O762" s="410"/>
      <c r="P762" s="410"/>
      <c r="Q762" s="410"/>
      <c r="R762" s="410"/>
      <c r="S762" s="410"/>
      <c r="T762" s="410"/>
      <c r="U762" s="410"/>
    </row>
    <row r="763" spans="7:21" x14ac:dyDescent="0.15">
      <c r="G763" s="410"/>
      <c r="H763" s="410"/>
      <c r="I763" s="410"/>
      <c r="J763" s="410"/>
      <c r="K763" s="410"/>
      <c r="L763" s="410"/>
      <c r="M763" s="410"/>
      <c r="N763" s="410"/>
      <c r="O763" s="410"/>
      <c r="P763" s="410"/>
      <c r="Q763" s="410"/>
      <c r="R763" s="410"/>
      <c r="S763" s="410"/>
      <c r="T763" s="410"/>
      <c r="U763" s="410"/>
    </row>
    <row r="764" spans="7:21" x14ac:dyDescent="0.15">
      <c r="G764" s="410"/>
      <c r="H764" s="410"/>
      <c r="I764" s="410"/>
      <c r="J764" s="410"/>
      <c r="K764" s="410"/>
      <c r="L764" s="410"/>
      <c r="M764" s="410"/>
      <c r="N764" s="410"/>
      <c r="O764" s="410"/>
      <c r="P764" s="410"/>
      <c r="Q764" s="410"/>
      <c r="R764" s="410"/>
      <c r="S764" s="410"/>
      <c r="T764" s="410"/>
      <c r="U764" s="410"/>
    </row>
    <row r="765" spans="7:21" x14ac:dyDescent="0.15">
      <c r="G765" s="410"/>
      <c r="H765" s="410"/>
      <c r="I765" s="410"/>
      <c r="J765" s="410"/>
      <c r="K765" s="410"/>
      <c r="L765" s="410"/>
      <c r="M765" s="410"/>
      <c r="N765" s="410"/>
      <c r="O765" s="410"/>
      <c r="P765" s="410"/>
      <c r="Q765" s="410"/>
      <c r="R765" s="410"/>
      <c r="S765" s="410"/>
      <c r="T765" s="410"/>
      <c r="U765" s="410"/>
    </row>
    <row r="766" spans="7:21" x14ac:dyDescent="0.15">
      <c r="G766" s="410"/>
      <c r="H766" s="410"/>
      <c r="I766" s="410"/>
      <c r="J766" s="410"/>
      <c r="K766" s="410"/>
      <c r="L766" s="410"/>
      <c r="M766" s="410"/>
      <c r="N766" s="410"/>
      <c r="O766" s="410"/>
      <c r="P766" s="410"/>
      <c r="Q766" s="410"/>
      <c r="R766" s="410"/>
      <c r="S766" s="410"/>
      <c r="T766" s="410"/>
      <c r="U766" s="410"/>
    </row>
    <row r="767" spans="7:21" x14ac:dyDescent="0.15">
      <c r="G767" s="410"/>
      <c r="H767" s="410"/>
      <c r="I767" s="410"/>
      <c r="J767" s="410"/>
      <c r="K767" s="410"/>
      <c r="L767" s="410"/>
      <c r="M767" s="410"/>
      <c r="N767" s="410"/>
      <c r="O767" s="410"/>
      <c r="P767" s="410"/>
      <c r="Q767" s="410"/>
      <c r="R767" s="410"/>
      <c r="S767" s="410"/>
      <c r="T767" s="410"/>
      <c r="U767" s="410"/>
    </row>
    <row r="768" spans="7:21" x14ac:dyDescent="0.15">
      <c r="G768" s="410"/>
      <c r="H768" s="410"/>
      <c r="I768" s="410"/>
      <c r="J768" s="410"/>
      <c r="K768" s="410"/>
      <c r="L768" s="410"/>
      <c r="M768" s="410"/>
      <c r="N768" s="410"/>
      <c r="O768" s="410"/>
      <c r="P768" s="410"/>
      <c r="Q768" s="410"/>
      <c r="R768" s="410"/>
      <c r="S768" s="410"/>
      <c r="T768" s="410"/>
      <c r="U768" s="410"/>
    </row>
    <row r="769" spans="7:21" x14ac:dyDescent="0.15">
      <c r="G769" s="410"/>
      <c r="H769" s="410"/>
      <c r="I769" s="410"/>
      <c r="J769" s="410"/>
      <c r="K769" s="410"/>
      <c r="L769" s="410"/>
      <c r="M769" s="410"/>
      <c r="N769" s="410"/>
      <c r="O769" s="410"/>
      <c r="P769" s="410"/>
      <c r="Q769" s="410"/>
      <c r="R769" s="410"/>
      <c r="S769" s="410"/>
      <c r="T769" s="410"/>
      <c r="U769" s="410"/>
    </row>
    <row r="770" spans="7:21" x14ac:dyDescent="0.15">
      <c r="G770" s="410"/>
      <c r="H770" s="410"/>
      <c r="I770" s="410"/>
      <c r="J770" s="410"/>
      <c r="K770" s="410"/>
      <c r="L770" s="410"/>
      <c r="M770" s="410"/>
      <c r="N770" s="410"/>
      <c r="O770" s="410"/>
      <c r="P770" s="410"/>
      <c r="Q770" s="410"/>
      <c r="R770" s="410"/>
      <c r="S770" s="410"/>
      <c r="T770" s="410"/>
      <c r="U770" s="410"/>
    </row>
    <row r="771" spans="7:21" x14ac:dyDescent="0.15">
      <c r="G771" s="410"/>
      <c r="H771" s="410"/>
      <c r="I771" s="410"/>
      <c r="J771" s="410"/>
      <c r="K771" s="410"/>
      <c r="L771" s="410"/>
      <c r="M771" s="410"/>
      <c r="N771" s="410"/>
      <c r="O771" s="410"/>
      <c r="P771" s="410"/>
      <c r="Q771" s="410"/>
      <c r="R771" s="410"/>
      <c r="S771" s="410"/>
      <c r="T771" s="410"/>
      <c r="U771" s="410"/>
    </row>
    <row r="772" spans="7:21" x14ac:dyDescent="0.15">
      <c r="G772" s="410"/>
      <c r="H772" s="410"/>
      <c r="I772" s="410"/>
      <c r="J772" s="410"/>
      <c r="K772" s="410"/>
      <c r="L772" s="410"/>
      <c r="M772" s="410"/>
      <c r="N772" s="410"/>
      <c r="O772" s="410"/>
      <c r="P772" s="410"/>
      <c r="Q772" s="410"/>
      <c r="R772" s="410"/>
      <c r="S772" s="410"/>
      <c r="T772" s="410"/>
      <c r="U772" s="410"/>
    </row>
    <row r="773" spans="7:21" x14ac:dyDescent="0.15">
      <c r="G773" s="410"/>
      <c r="H773" s="410"/>
      <c r="I773" s="410"/>
      <c r="J773" s="410"/>
      <c r="K773" s="410"/>
      <c r="L773" s="410"/>
      <c r="M773" s="410"/>
      <c r="N773" s="410"/>
      <c r="O773" s="410"/>
      <c r="P773" s="410"/>
      <c r="Q773" s="410"/>
      <c r="R773" s="410"/>
      <c r="S773" s="410"/>
      <c r="T773" s="410"/>
      <c r="U773" s="410"/>
    </row>
    <row r="774" spans="7:21" x14ac:dyDescent="0.15">
      <c r="G774" s="410"/>
      <c r="H774" s="410"/>
      <c r="I774" s="410"/>
      <c r="J774" s="410"/>
      <c r="K774" s="410"/>
      <c r="L774" s="410"/>
      <c r="M774" s="410"/>
      <c r="N774" s="410"/>
      <c r="O774" s="410"/>
      <c r="P774" s="410"/>
      <c r="Q774" s="410"/>
      <c r="R774" s="410"/>
      <c r="S774" s="410"/>
      <c r="T774" s="410"/>
      <c r="U774" s="410"/>
    </row>
    <row r="775" spans="7:21" x14ac:dyDescent="0.15">
      <c r="G775" s="410"/>
      <c r="H775" s="410"/>
      <c r="I775" s="410"/>
      <c r="J775" s="410"/>
      <c r="K775" s="410"/>
      <c r="L775" s="410"/>
      <c r="M775" s="410"/>
      <c r="N775" s="410"/>
      <c r="O775" s="410"/>
      <c r="P775" s="410"/>
      <c r="Q775" s="410"/>
      <c r="R775" s="410"/>
      <c r="S775" s="410"/>
      <c r="T775" s="410"/>
      <c r="U775" s="410"/>
    </row>
    <row r="776" spans="7:21" x14ac:dyDescent="0.15">
      <c r="G776" s="410"/>
      <c r="H776" s="410"/>
      <c r="I776" s="410"/>
      <c r="J776" s="410"/>
      <c r="K776" s="410"/>
      <c r="L776" s="410"/>
      <c r="M776" s="410"/>
      <c r="N776" s="410"/>
      <c r="O776" s="410"/>
      <c r="P776" s="410"/>
      <c r="Q776" s="410"/>
      <c r="R776" s="410"/>
      <c r="S776" s="410"/>
      <c r="T776" s="410"/>
      <c r="U776" s="410"/>
    </row>
    <row r="777" spans="7:21" x14ac:dyDescent="0.15">
      <c r="G777" s="410"/>
      <c r="H777" s="410"/>
      <c r="I777" s="410"/>
      <c r="J777" s="410"/>
      <c r="K777" s="410"/>
      <c r="L777" s="410"/>
      <c r="M777" s="410"/>
      <c r="N777" s="410"/>
      <c r="O777" s="410"/>
      <c r="P777" s="410"/>
      <c r="Q777" s="410"/>
      <c r="R777" s="410"/>
      <c r="S777" s="410"/>
      <c r="T777" s="410"/>
      <c r="U777" s="410"/>
    </row>
    <row r="778" spans="7:21" x14ac:dyDescent="0.15">
      <c r="G778" s="410"/>
      <c r="H778" s="410"/>
      <c r="I778" s="410"/>
      <c r="J778" s="410"/>
      <c r="K778" s="410"/>
      <c r="L778" s="410"/>
      <c r="M778" s="410"/>
      <c r="N778" s="410"/>
      <c r="O778" s="410"/>
      <c r="P778" s="410"/>
      <c r="Q778" s="410"/>
      <c r="R778" s="410"/>
      <c r="S778" s="410"/>
      <c r="T778" s="410"/>
      <c r="U778" s="410"/>
    </row>
    <row r="779" spans="7:21" x14ac:dyDescent="0.15">
      <c r="G779" s="410"/>
      <c r="H779" s="410"/>
      <c r="I779" s="410"/>
      <c r="J779" s="410"/>
      <c r="K779" s="410"/>
      <c r="L779" s="410"/>
      <c r="M779" s="410"/>
      <c r="N779" s="410"/>
      <c r="O779" s="410"/>
      <c r="P779" s="410"/>
      <c r="Q779" s="410"/>
      <c r="R779" s="410"/>
      <c r="S779" s="410"/>
      <c r="T779" s="410"/>
      <c r="U779" s="410"/>
    </row>
    <row r="780" spans="7:21" x14ac:dyDescent="0.15">
      <c r="G780" s="410"/>
      <c r="H780" s="410"/>
      <c r="I780" s="410"/>
      <c r="J780" s="410"/>
      <c r="K780" s="410"/>
      <c r="L780" s="410"/>
      <c r="M780" s="410"/>
      <c r="N780" s="410"/>
      <c r="O780" s="410"/>
      <c r="P780" s="410"/>
      <c r="Q780" s="410"/>
      <c r="R780" s="410"/>
      <c r="S780" s="410"/>
      <c r="T780" s="410"/>
      <c r="U780" s="410"/>
    </row>
    <row r="781" spans="7:21" x14ac:dyDescent="0.15">
      <c r="G781" s="410"/>
      <c r="H781" s="410"/>
      <c r="I781" s="410"/>
      <c r="J781" s="410"/>
      <c r="K781" s="410"/>
      <c r="L781" s="410"/>
      <c r="M781" s="410"/>
      <c r="N781" s="410"/>
      <c r="O781" s="410"/>
      <c r="P781" s="410"/>
      <c r="Q781" s="410"/>
      <c r="R781" s="410"/>
      <c r="S781" s="410"/>
      <c r="T781" s="410"/>
      <c r="U781" s="410"/>
    </row>
    <row r="782" spans="7:21" x14ac:dyDescent="0.15">
      <c r="G782" s="410"/>
      <c r="H782" s="410"/>
      <c r="I782" s="410"/>
      <c r="J782" s="410"/>
      <c r="K782" s="410"/>
      <c r="L782" s="410"/>
      <c r="M782" s="410"/>
      <c r="N782" s="410"/>
      <c r="O782" s="410"/>
      <c r="P782" s="410"/>
      <c r="Q782" s="410"/>
      <c r="R782" s="410"/>
      <c r="S782" s="410"/>
      <c r="T782" s="410"/>
      <c r="U782" s="410"/>
    </row>
    <row r="783" spans="7:21" x14ac:dyDescent="0.15">
      <c r="G783" s="410"/>
      <c r="H783" s="410"/>
      <c r="I783" s="410"/>
      <c r="J783" s="410"/>
      <c r="K783" s="410"/>
      <c r="L783" s="410"/>
      <c r="M783" s="410"/>
      <c r="N783" s="410"/>
      <c r="O783" s="410"/>
      <c r="P783" s="410"/>
      <c r="Q783" s="410"/>
      <c r="R783" s="410"/>
      <c r="S783" s="410"/>
      <c r="T783" s="410"/>
      <c r="U783" s="410"/>
    </row>
    <row r="784" spans="7:21" x14ac:dyDescent="0.15">
      <c r="G784" s="410"/>
      <c r="H784" s="410"/>
      <c r="I784" s="410"/>
      <c r="J784" s="410"/>
      <c r="K784" s="410"/>
      <c r="L784" s="410"/>
      <c r="M784" s="410"/>
      <c r="N784" s="410"/>
      <c r="O784" s="410"/>
      <c r="P784" s="410"/>
      <c r="Q784" s="410"/>
      <c r="R784" s="410"/>
      <c r="S784" s="410"/>
      <c r="T784" s="410"/>
      <c r="U784" s="410"/>
    </row>
    <row r="785" spans="7:21" x14ac:dyDescent="0.15">
      <c r="G785" s="410"/>
      <c r="H785" s="410"/>
      <c r="I785" s="410"/>
      <c r="J785" s="410"/>
      <c r="K785" s="410"/>
      <c r="L785" s="410"/>
      <c r="M785" s="410"/>
      <c r="N785" s="410"/>
      <c r="O785" s="410"/>
      <c r="P785" s="410"/>
      <c r="Q785" s="410"/>
      <c r="R785" s="410"/>
      <c r="S785" s="410"/>
      <c r="T785" s="410"/>
      <c r="U785" s="410"/>
    </row>
    <row r="786" spans="7:21" x14ac:dyDescent="0.15">
      <c r="G786" s="410"/>
      <c r="H786" s="410"/>
      <c r="I786" s="410"/>
      <c r="J786" s="410"/>
      <c r="K786" s="410"/>
      <c r="L786" s="410"/>
      <c r="M786" s="410"/>
      <c r="N786" s="410"/>
      <c r="O786" s="410"/>
      <c r="P786" s="410"/>
      <c r="Q786" s="410"/>
      <c r="R786" s="410"/>
      <c r="S786" s="410"/>
      <c r="T786" s="410"/>
      <c r="U786" s="410"/>
    </row>
    <row r="787" spans="7:21" x14ac:dyDescent="0.15">
      <c r="G787" s="410"/>
      <c r="H787" s="410"/>
      <c r="I787" s="410"/>
      <c r="J787" s="410"/>
      <c r="K787" s="410"/>
      <c r="L787" s="410"/>
      <c r="M787" s="410"/>
      <c r="N787" s="410"/>
      <c r="O787" s="410"/>
      <c r="P787" s="410"/>
      <c r="Q787" s="410"/>
      <c r="R787" s="410"/>
      <c r="S787" s="410"/>
      <c r="T787" s="410"/>
      <c r="U787" s="410"/>
    </row>
    <row r="788" spans="7:21" x14ac:dyDescent="0.15">
      <c r="G788" s="410"/>
      <c r="H788" s="410"/>
      <c r="I788" s="410"/>
      <c r="J788" s="410"/>
      <c r="K788" s="410"/>
      <c r="L788" s="410"/>
      <c r="M788" s="410"/>
      <c r="N788" s="410"/>
      <c r="O788" s="410"/>
      <c r="P788" s="410"/>
      <c r="Q788" s="410"/>
      <c r="R788" s="410"/>
      <c r="S788" s="410"/>
      <c r="T788" s="410"/>
      <c r="U788" s="410"/>
    </row>
    <row r="789" spans="7:21" x14ac:dyDescent="0.15">
      <c r="G789" s="410"/>
      <c r="H789" s="410"/>
      <c r="I789" s="410"/>
      <c r="J789" s="410"/>
      <c r="K789" s="410"/>
      <c r="L789" s="410"/>
      <c r="M789" s="410"/>
      <c r="N789" s="410"/>
      <c r="O789" s="410"/>
      <c r="P789" s="410"/>
      <c r="Q789" s="410"/>
      <c r="R789" s="410"/>
      <c r="S789" s="410"/>
      <c r="T789" s="410"/>
      <c r="U789" s="410"/>
    </row>
    <row r="790" spans="7:21" x14ac:dyDescent="0.15">
      <c r="G790" s="410"/>
      <c r="H790" s="410"/>
      <c r="I790" s="410"/>
      <c r="J790" s="410"/>
      <c r="K790" s="410"/>
      <c r="L790" s="410"/>
      <c r="M790" s="410"/>
      <c r="N790" s="410"/>
      <c r="O790" s="410"/>
      <c r="P790" s="410"/>
      <c r="Q790" s="410"/>
      <c r="R790" s="410"/>
      <c r="S790" s="410"/>
      <c r="T790" s="410"/>
      <c r="U790" s="410"/>
    </row>
    <row r="791" spans="7:21" x14ac:dyDescent="0.15">
      <c r="G791" s="410"/>
      <c r="H791" s="410"/>
      <c r="I791" s="410"/>
      <c r="J791" s="410"/>
      <c r="K791" s="410"/>
      <c r="L791" s="410"/>
      <c r="M791" s="410"/>
      <c r="N791" s="410"/>
      <c r="O791" s="410"/>
      <c r="P791" s="410"/>
      <c r="Q791" s="410"/>
      <c r="R791" s="410"/>
      <c r="S791" s="410"/>
      <c r="T791" s="410"/>
      <c r="U791" s="410"/>
    </row>
    <row r="792" spans="7:21" x14ac:dyDescent="0.15">
      <c r="G792" s="410"/>
      <c r="H792" s="410"/>
      <c r="I792" s="410"/>
      <c r="J792" s="410"/>
      <c r="K792" s="410"/>
      <c r="L792" s="410"/>
      <c r="M792" s="410"/>
      <c r="N792" s="410"/>
      <c r="O792" s="410"/>
      <c r="P792" s="410"/>
      <c r="Q792" s="410"/>
      <c r="R792" s="410"/>
      <c r="S792" s="410"/>
      <c r="T792" s="410"/>
      <c r="U792" s="410"/>
    </row>
    <row r="793" spans="7:21" x14ac:dyDescent="0.15">
      <c r="G793" s="410"/>
      <c r="H793" s="410"/>
      <c r="I793" s="410"/>
      <c r="J793" s="410"/>
      <c r="K793" s="410"/>
      <c r="L793" s="410"/>
      <c r="M793" s="410"/>
      <c r="N793" s="410"/>
      <c r="O793" s="410"/>
      <c r="P793" s="410"/>
      <c r="Q793" s="410"/>
      <c r="R793" s="410"/>
      <c r="S793" s="410"/>
      <c r="T793" s="410"/>
      <c r="U793" s="410"/>
    </row>
    <row r="794" spans="7:21" x14ac:dyDescent="0.15">
      <c r="G794" s="410"/>
      <c r="H794" s="410"/>
      <c r="I794" s="410"/>
      <c r="J794" s="410"/>
      <c r="K794" s="410"/>
      <c r="L794" s="410"/>
      <c r="M794" s="410"/>
      <c r="N794" s="410"/>
      <c r="O794" s="410"/>
      <c r="P794" s="410"/>
      <c r="Q794" s="410"/>
      <c r="R794" s="410"/>
      <c r="S794" s="410"/>
      <c r="T794" s="410"/>
      <c r="U794" s="410"/>
    </row>
    <row r="795" spans="7:21" x14ac:dyDescent="0.15">
      <c r="G795" s="410"/>
      <c r="H795" s="410"/>
      <c r="I795" s="410"/>
      <c r="J795" s="410"/>
      <c r="K795" s="410"/>
      <c r="L795" s="410"/>
      <c r="M795" s="410"/>
      <c r="N795" s="410"/>
      <c r="O795" s="410"/>
      <c r="P795" s="410"/>
      <c r="Q795" s="410"/>
      <c r="R795" s="410"/>
      <c r="S795" s="410"/>
      <c r="T795" s="410"/>
      <c r="U795" s="410"/>
    </row>
    <row r="796" spans="7:21" x14ac:dyDescent="0.15">
      <c r="G796" s="410"/>
      <c r="H796" s="410"/>
      <c r="I796" s="410"/>
      <c r="J796" s="410"/>
      <c r="K796" s="410"/>
      <c r="L796" s="410"/>
      <c r="M796" s="410"/>
      <c r="N796" s="410"/>
      <c r="O796" s="410"/>
      <c r="P796" s="410"/>
      <c r="Q796" s="410"/>
      <c r="R796" s="410"/>
      <c r="S796" s="410"/>
      <c r="T796" s="410"/>
      <c r="U796" s="410"/>
    </row>
    <row r="797" spans="7:21" x14ac:dyDescent="0.15">
      <c r="G797" s="410"/>
      <c r="H797" s="410"/>
      <c r="I797" s="410"/>
      <c r="J797" s="410"/>
      <c r="K797" s="410"/>
      <c r="L797" s="410"/>
      <c r="M797" s="410"/>
      <c r="N797" s="410"/>
      <c r="O797" s="410"/>
      <c r="P797" s="410"/>
      <c r="Q797" s="410"/>
      <c r="R797" s="410"/>
      <c r="S797" s="410"/>
      <c r="T797" s="410"/>
      <c r="U797" s="410"/>
    </row>
    <row r="798" spans="7:21" x14ac:dyDescent="0.15">
      <c r="G798" s="410"/>
      <c r="H798" s="410"/>
      <c r="I798" s="410"/>
      <c r="J798" s="410"/>
      <c r="K798" s="410"/>
      <c r="L798" s="410"/>
      <c r="M798" s="410"/>
      <c r="N798" s="410"/>
      <c r="O798" s="410"/>
      <c r="P798" s="410"/>
      <c r="Q798" s="410"/>
      <c r="R798" s="410"/>
      <c r="S798" s="410"/>
      <c r="T798" s="410"/>
      <c r="U798" s="410"/>
    </row>
    <row r="799" spans="7:21" x14ac:dyDescent="0.15">
      <c r="G799" s="410"/>
      <c r="H799" s="410"/>
      <c r="I799" s="410"/>
      <c r="J799" s="410"/>
      <c r="K799" s="410"/>
      <c r="L799" s="410"/>
      <c r="M799" s="410"/>
      <c r="N799" s="410"/>
      <c r="O799" s="410"/>
      <c r="P799" s="410"/>
      <c r="Q799" s="410"/>
      <c r="R799" s="410"/>
      <c r="S799" s="410"/>
      <c r="T799" s="410"/>
      <c r="U799" s="410"/>
    </row>
    <row r="800" spans="7:21" x14ac:dyDescent="0.15">
      <c r="G800" s="410"/>
      <c r="H800" s="410"/>
      <c r="I800" s="410"/>
      <c r="J800" s="410"/>
      <c r="K800" s="410"/>
      <c r="L800" s="410"/>
      <c r="M800" s="410"/>
      <c r="N800" s="410"/>
      <c r="O800" s="410"/>
      <c r="P800" s="410"/>
      <c r="Q800" s="410"/>
      <c r="R800" s="410"/>
      <c r="S800" s="410"/>
      <c r="T800" s="410"/>
      <c r="U800" s="410"/>
    </row>
    <row r="801" spans="7:21" x14ac:dyDescent="0.15">
      <c r="G801" s="410"/>
      <c r="H801" s="410"/>
      <c r="I801" s="410"/>
      <c r="J801" s="410"/>
      <c r="K801" s="410"/>
      <c r="L801" s="410"/>
      <c r="M801" s="410"/>
      <c r="N801" s="410"/>
      <c r="O801" s="410"/>
      <c r="P801" s="410"/>
      <c r="Q801" s="410"/>
      <c r="R801" s="410"/>
      <c r="S801" s="410"/>
      <c r="T801" s="410"/>
      <c r="U801" s="410"/>
    </row>
    <row r="802" spans="7:21" x14ac:dyDescent="0.15">
      <c r="G802" s="410"/>
      <c r="H802" s="410"/>
      <c r="I802" s="410"/>
      <c r="J802" s="410"/>
      <c r="K802" s="410"/>
      <c r="L802" s="410"/>
      <c r="M802" s="410"/>
      <c r="N802" s="410"/>
      <c r="O802" s="410"/>
      <c r="P802" s="410"/>
      <c r="Q802" s="410"/>
      <c r="R802" s="410"/>
      <c r="S802" s="410"/>
      <c r="T802" s="410"/>
      <c r="U802" s="410"/>
    </row>
    <row r="803" spans="7:21" x14ac:dyDescent="0.15">
      <c r="G803" s="410"/>
      <c r="H803" s="410"/>
      <c r="I803" s="410"/>
      <c r="J803" s="410"/>
      <c r="K803" s="410"/>
      <c r="L803" s="410"/>
      <c r="M803" s="410"/>
      <c r="N803" s="410"/>
      <c r="O803" s="410"/>
      <c r="P803" s="410"/>
      <c r="Q803" s="410"/>
      <c r="R803" s="410"/>
      <c r="S803" s="410"/>
      <c r="T803" s="410"/>
      <c r="U803" s="410"/>
    </row>
    <row r="804" spans="7:21" x14ac:dyDescent="0.15">
      <c r="G804" s="410"/>
      <c r="H804" s="410"/>
      <c r="I804" s="410"/>
      <c r="J804" s="410"/>
      <c r="K804" s="410"/>
      <c r="L804" s="410"/>
      <c r="M804" s="410"/>
      <c r="N804" s="410"/>
      <c r="O804" s="410"/>
      <c r="P804" s="410"/>
      <c r="Q804" s="410"/>
      <c r="R804" s="410"/>
      <c r="S804" s="410"/>
      <c r="T804" s="410"/>
      <c r="U804" s="410"/>
    </row>
    <row r="805" spans="7:21" x14ac:dyDescent="0.15">
      <c r="G805" s="410"/>
      <c r="H805" s="410"/>
      <c r="I805" s="410"/>
      <c r="J805" s="410"/>
      <c r="K805" s="410"/>
      <c r="L805" s="410"/>
      <c r="M805" s="410"/>
      <c r="N805" s="410"/>
      <c r="O805" s="410"/>
      <c r="P805" s="410"/>
      <c r="Q805" s="410"/>
      <c r="R805" s="410"/>
      <c r="S805" s="410"/>
      <c r="T805" s="410"/>
      <c r="U805" s="410"/>
    </row>
    <row r="806" spans="7:21" x14ac:dyDescent="0.15">
      <c r="G806" s="410"/>
      <c r="H806" s="410"/>
      <c r="I806" s="410"/>
      <c r="J806" s="410"/>
      <c r="K806" s="410"/>
      <c r="L806" s="410"/>
      <c r="M806" s="410"/>
      <c r="N806" s="410"/>
      <c r="O806" s="410"/>
      <c r="P806" s="410"/>
      <c r="Q806" s="410"/>
      <c r="R806" s="410"/>
      <c r="S806" s="410"/>
      <c r="T806" s="410"/>
      <c r="U806" s="410"/>
    </row>
    <row r="807" spans="7:21" x14ac:dyDescent="0.15">
      <c r="G807" s="410"/>
      <c r="H807" s="410"/>
      <c r="I807" s="410"/>
      <c r="J807" s="410"/>
      <c r="K807" s="410"/>
      <c r="L807" s="410"/>
      <c r="M807" s="410"/>
      <c r="N807" s="410"/>
      <c r="O807" s="410"/>
      <c r="P807" s="410"/>
      <c r="Q807" s="410"/>
      <c r="R807" s="410"/>
      <c r="S807" s="410"/>
      <c r="T807" s="410"/>
      <c r="U807" s="410"/>
    </row>
    <row r="808" spans="7:21" x14ac:dyDescent="0.15">
      <c r="G808" s="410"/>
      <c r="H808" s="410"/>
      <c r="I808" s="410"/>
      <c r="J808" s="410"/>
      <c r="K808" s="410"/>
      <c r="L808" s="410"/>
      <c r="M808" s="410"/>
      <c r="N808" s="410"/>
      <c r="O808" s="410"/>
      <c r="P808" s="410"/>
      <c r="Q808" s="410"/>
      <c r="R808" s="410"/>
      <c r="S808" s="410"/>
      <c r="T808" s="410"/>
      <c r="U808" s="410"/>
    </row>
    <row r="809" spans="7:21" x14ac:dyDescent="0.15">
      <c r="G809" s="410"/>
      <c r="H809" s="410"/>
      <c r="I809" s="410"/>
      <c r="J809" s="410"/>
      <c r="K809" s="410"/>
      <c r="L809" s="410"/>
      <c r="M809" s="410"/>
      <c r="N809" s="410"/>
      <c r="O809" s="410"/>
      <c r="P809" s="410"/>
      <c r="Q809" s="410"/>
      <c r="R809" s="410"/>
      <c r="S809" s="410"/>
      <c r="T809" s="410"/>
      <c r="U809" s="410"/>
    </row>
    <row r="810" spans="7:21" x14ac:dyDescent="0.15">
      <c r="G810" s="410"/>
      <c r="H810" s="410"/>
      <c r="I810" s="410"/>
      <c r="J810" s="410"/>
      <c r="K810" s="410"/>
      <c r="L810" s="410"/>
      <c r="M810" s="410"/>
      <c r="N810" s="410"/>
      <c r="O810" s="410"/>
      <c r="P810" s="410"/>
      <c r="Q810" s="410"/>
      <c r="R810" s="410"/>
      <c r="S810" s="410"/>
      <c r="T810" s="410"/>
      <c r="U810" s="410"/>
    </row>
    <row r="811" spans="7:21" x14ac:dyDescent="0.15">
      <c r="G811" s="410"/>
      <c r="H811" s="410"/>
      <c r="I811" s="410"/>
      <c r="J811" s="410"/>
      <c r="K811" s="410"/>
      <c r="L811" s="410"/>
      <c r="M811" s="410"/>
      <c r="N811" s="410"/>
      <c r="O811" s="410"/>
      <c r="P811" s="410"/>
      <c r="Q811" s="410"/>
      <c r="R811" s="410"/>
      <c r="S811" s="410"/>
      <c r="T811" s="410"/>
      <c r="U811" s="410"/>
    </row>
    <row r="812" spans="7:21" x14ac:dyDescent="0.15">
      <c r="G812" s="410"/>
      <c r="H812" s="410"/>
      <c r="I812" s="410"/>
      <c r="J812" s="410"/>
      <c r="K812" s="410"/>
      <c r="L812" s="410"/>
      <c r="M812" s="410"/>
      <c r="N812" s="410"/>
      <c r="O812" s="410"/>
      <c r="P812" s="410"/>
      <c r="Q812" s="410"/>
      <c r="R812" s="410"/>
      <c r="S812" s="410"/>
      <c r="T812" s="410"/>
      <c r="U812" s="410"/>
    </row>
    <row r="813" spans="7:21" x14ac:dyDescent="0.15">
      <c r="G813" s="410"/>
      <c r="H813" s="410"/>
      <c r="I813" s="410"/>
      <c r="J813" s="410"/>
      <c r="K813" s="410"/>
      <c r="L813" s="410"/>
      <c r="M813" s="410"/>
      <c r="N813" s="410"/>
      <c r="O813" s="410"/>
      <c r="P813" s="410"/>
      <c r="Q813" s="410"/>
      <c r="R813" s="410"/>
      <c r="S813" s="410"/>
      <c r="T813" s="410"/>
      <c r="U813" s="410"/>
    </row>
    <row r="814" spans="7:21" x14ac:dyDescent="0.15">
      <c r="G814" s="410"/>
      <c r="H814" s="410"/>
      <c r="I814" s="410"/>
      <c r="J814" s="410"/>
      <c r="K814" s="410"/>
      <c r="L814" s="410"/>
      <c r="M814" s="410"/>
      <c r="N814" s="410"/>
      <c r="O814" s="410"/>
      <c r="P814" s="410"/>
      <c r="Q814" s="410"/>
      <c r="R814" s="410"/>
      <c r="S814" s="410"/>
      <c r="T814" s="410"/>
      <c r="U814" s="410"/>
    </row>
    <row r="815" spans="7:21" x14ac:dyDescent="0.15">
      <c r="G815" s="410"/>
      <c r="H815" s="410"/>
      <c r="I815" s="410"/>
      <c r="J815" s="410"/>
      <c r="K815" s="410"/>
      <c r="L815" s="410"/>
      <c r="M815" s="410"/>
      <c r="N815" s="410"/>
      <c r="O815" s="410"/>
      <c r="P815" s="410"/>
      <c r="Q815" s="410"/>
      <c r="R815" s="410"/>
      <c r="S815" s="410"/>
      <c r="T815" s="410"/>
      <c r="U815" s="410"/>
    </row>
    <row r="816" spans="7:21" x14ac:dyDescent="0.15">
      <c r="G816" s="410"/>
      <c r="H816" s="410"/>
      <c r="I816" s="410"/>
      <c r="J816" s="410"/>
      <c r="K816" s="410"/>
      <c r="L816" s="410"/>
      <c r="M816" s="410"/>
      <c r="N816" s="410"/>
      <c r="O816" s="410"/>
      <c r="P816" s="410"/>
      <c r="Q816" s="410"/>
      <c r="R816" s="410"/>
      <c r="S816" s="410"/>
      <c r="T816" s="410"/>
      <c r="U816" s="410"/>
    </row>
    <row r="817" spans="7:21" x14ac:dyDescent="0.15">
      <c r="G817" s="410"/>
      <c r="H817" s="410"/>
      <c r="I817" s="410"/>
      <c r="J817" s="410"/>
      <c r="K817" s="410"/>
      <c r="L817" s="410"/>
      <c r="M817" s="410"/>
      <c r="N817" s="410"/>
      <c r="O817" s="410"/>
      <c r="P817" s="410"/>
      <c r="Q817" s="410"/>
      <c r="R817" s="410"/>
      <c r="S817" s="410"/>
      <c r="T817" s="410"/>
      <c r="U817" s="410"/>
    </row>
    <row r="818" spans="7:21" x14ac:dyDescent="0.15">
      <c r="G818" s="410"/>
      <c r="H818" s="410"/>
      <c r="I818" s="410"/>
      <c r="J818" s="410"/>
      <c r="K818" s="410"/>
      <c r="L818" s="410"/>
      <c r="M818" s="410"/>
      <c r="N818" s="410"/>
      <c r="O818" s="410"/>
      <c r="P818" s="410"/>
      <c r="Q818" s="410"/>
      <c r="R818" s="410"/>
      <c r="S818" s="410"/>
      <c r="T818" s="410"/>
      <c r="U818" s="410"/>
    </row>
    <row r="819" spans="7:21" x14ac:dyDescent="0.15">
      <c r="G819" s="410"/>
      <c r="H819" s="410"/>
      <c r="I819" s="410"/>
      <c r="J819" s="410"/>
      <c r="K819" s="410"/>
      <c r="L819" s="410"/>
      <c r="M819" s="410"/>
      <c r="N819" s="410"/>
      <c r="O819" s="410"/>
      <c r="P819" s="410"/>
      <c r="Q819" s="410"/>
      <c r="R819" s="410"/>
      <c r="S819" s="410"/>
      <c r="T819" s="410"/>
      <c r="U819" s="410"/>
    </row>
    <row r="820" spans="7:21" x14ac:dyDescent="0.15">
      <c r="G820" s="410"/>
      <c r="H820" s="410"/>
      <c r="I820" s="410"/>
      <c r="J820" s="410"/>
      <c r="K820" s="410"/>
      <c r="L820" s="410"/>
      <c r="M820" s="410"/>
      <c r="N820" s="410"/>
      <c r="O820" s="410"/>
      <c r="P820" s="410"/>
      <c r="Q820" s="410"/>
      <c r="R820" s="410"/>
      <c r="S820" s="410"/>
      <c r="T820" s="410"/>
      <c r="U820" s="410"/>
    </row>
    <row r="821" spans="7:21" x14ac:dyDescent="0.15">
      <c r="G821" s="410"/>
      <c r="H821" s="410"/>
      <c r="I821" s="410"/>
      <c r="J821" s="410"/>
      <c r="K821" s="410"/>
      <c r="L821" s="410"/>
      <c r="M821" s="410"/>
      <c r="N821" s="410"/>
      <c r="O821" s="410"/>
      <c r="P821" s="410"/>
      <c r="Q821" s="410"/>
      <c r="R821" s="410"/>
      <c r="S821" s="410"/>
      <c r="T821" s="410"/>
      <c r="U821" s="410"/>
    </row>
    <row r="822" spans="7:21" x14ac:dyDescent="0.15">
      <c r="I822" s="63"/>
      <c r="J822" s="63"/>
      <c r="K822" s="63"/>
      <c r="L822" s="63"/>
      <c r="M822" s="63"/>
      <c r="N822" s="63"/>
      <c r="O822" s="63"/>
    </row>
    <row r="823" spans="7:21" x14ac:dyDescent="0.15">
      <c r="I823" s="63"/>
      <c r="J823" s="63"/>
      <c r="K823" s="63"/>
      <c r="L823" s="63"/>
      <c r="M823" s="63"/>
      <c r="N823" s="63"/>
      <c r="O823" s="63"/>
    </row>
    <row r="824" spans="7:21" x14ac:dyDescent="0.15">
      <c r="I824" s="63"/>
      <c r="J824" s="63"/>
      <c r="K824" s="63"/>
      <c r="L824" s="63"/>
      <c r="M824" s="63"/>
      <c r="N824" s="63"/>
      <c r="O824" s="63"/>
    </row>
    <row r="825" spans="7:21" x14ac:dyDescent="0.15">
      <c r="I825" s="63"/>
      <c r="J825" s="63"/>
      <c r="K825" s="63"/>
      <c r="L825" s="63"/>
      <c r="M825" s="63"/>
      <c r="N825" s="63"/>
      <c r="O825" s="63"/>
    </row>
    <row r="826" spans="7:21" x14ac:dyDescent="0.15">
      <c r="I826" s="63"/>
      <c r="J826" s="63"/>
      <c r="K826" s="63"/>
      <c r="L826" s="63"/>
      <c r="M826" s="63"/>
      <c r="N826" s="63"/>
      <c r="O826" s="63"/>
    </row>
    <row r="827" spans="7:21" x14ac:dyDescent="0.15">
      <c r="I827" s="63"/>
      <c r="J827" s="63"/>
      <c r="K827" s="63"/>
      <c r="L827" s="63"/>
      <c r="M827" s="63"/>
      <c r="N827" s="63"/>
      <c r="O827" s="63"/>
    </row>
  </sheetData>
  <sheetProtection password="CC19" sheet="1" objects="1" scenarios="1"/>
  <mergeCells count="915">
    <mergeCell ref="CN67:CN68"/>
    <mergeCell ref="K68:L68"/>
    <mergeCell ref="D69:E69"/>
    <mergeCell ref="B40:B69"/>
    <mergeCell ref="Y67:Y68"/>
    <mergeCell ref="Z67:Z68"/>
    <mergeCell ref="AA67:AA68"/>
    <mergeCell ref="AE67:AE68"/>
    <mergeCell ref="AH67:AH68"/>
    <mergeCell ref="AM67:AM68"/>
    <mergeCell ref="AN67:AN68"/>
    <mergeCell ref="AO67:AO68"/>
    <mergeCell ref="CM67:CM68"/>
    <mergeCell ref="P67:P68"/>
    <mergeCell ref="Q67:Q68"/>
    <mergeCell ref="R67:R68"/>
    <mergeCell ref="S67:S68"/>
    <mergeCell ref="T67:T68"/>
    <mergeCell ref="U67:U68"/>
    <mergeCell ref="W67:W68"/>
    <mergeCell ref="X67:X68"/>
    <mergeCell ref="K65:L65"/>
    <mergeCell ref="D66:E66"/>
    <mergeCell ref="C67:C69"/>
    <mergeCell ref="E67:F68"/>
    <mergeCell ref="G67:G68"/>
    <mergeCell ref="H67:H68"/>
    <mergeCell ref="I67:I68"/>
    <mergeCell ref="J67:J68"/>
    <mergeCell ref="O67:O68"/>
    <mergeCell ref="Z64:Z65"/>
    <mergeCell ref="AA64:AA65"/>
    <mergeCell ref="P64:P65"/>
    <mergeCell ref="Q64:Q65"/>
    <mergeCell ref="R64:R65"/>
    <mergeCell ref="S64:S65"/>
    <mergeCell ref="T64:T65"/>
    <mergeCell ref="U64:U65"/>
    <mergeCell ref="W64:W65"/>
    <mergeCell ref="X64:X65"/>
    <mergeCell ref="Y64:Y65"/>
    <mergeCell ref="AE64:AE65"/>
    <mergeCell ref="AH64:AH65"/>
    <mergeCell ref="AM64:AM65"/>
    <mergeCell ref="AN64:AN65"/>
    <mergeCell ref="AO64:AO65"/>
    <mergeCell ref="CM64:CM65"/>
    <mergeCell ref="CN64:CN65"/>
    <mergeCell ref="AM61:AM62"/>
    <mergeCell ref="AN61:AN62"/>
    <mergeCell ref="AO61:AO62"/>
    <mergeCell ref="CM61:CM62"/>
    <mergeCell ref="CN61:CN62"/>
    <mergeCell ref="K62:L62"/>
    <mergeCell ref="D63:E63"/>
    <mergeCell ref="C64:C66"/>
    <mergeCell ref="E64:F65"/>
    <mergeCell ref="G64:G65"/>
    <mergeCell ref="H64:H65"/>
    <mergeCell ref="I64:I65"/>
    <mergeCell ref="J64:J65"/>
    <mergeCell ref="O64:O65"/>
    <mergeCell ref="H61:H62"/>
    <mergeCell ref="I61:I62"/>
    <mergeCell ref="J61:J62"/>
    <mergeCell ref="O61:O62"/>
    <mergeCell ref="C61:C63"/>
    <mergeCell ref="E61:F62"/>
    <mergeCell ref="G61:G62"/>
    <mergeCell ref="P61:P62"/>
    <mergeCell ref="Q61:Q62"/>
    <mergeCell ref="R61:R62"/>
    <mergeCell ref="S61:S62"/>
    <mergeCell ref="T61:T62"/>
    <mergeCell ref="Z58:Z59"/>
    <mergeCell ref="AA58:AA59"/>
    <mergeCell ref="AE58:AE59"/>
    <mergeCell ref="AH58:AH59"/>
    <mergeCell ref="U61:U62"/>
    <mergeCell ref="W61:W62"/>
    <mergeCell ref="X61:X62"/>
    <mergeCell ref="Y61:Y62"/>
    <mergeCell ref="Z61:Z62"/>
    <mergeCell ref="AA61:AA62"/>
    <mergeCell ref="AE61:AE62"/>
    <mergeCell ref="AH61:AH62"/>
    <mergeCell ref="AM58:AM59"/>
    <mergeCell ref="AN58:AN59"/>
    <mergeCell ref="AO58:AO59"/>
    <mergeCell ref="CM58:CM59"/>
    <mergeCell ref="CN58:CN59"/>
    <mergeCell ref="Q58:Q59"/>
    <mergeCell ref="R58:R59"/>
    <mergeCell ref="S58:S59"/>
    <mergeCell ref="T58:T59"/>
    <mergeCell ref="U58:U59"/>
    <mergeCell ref="W58:W59"/>
    <mergeCell ref="X58:X59"/>
    <mergeCell ref="Y58:Y59"/>
    <mergeCell ref="Z55:Z56"/>
    <mergeCell ref="AA55:AA56"/>
    <mergeCell ref="AE55:AE56"/>
    <mergeCell ref="AH55:AH56"/>
    <mergeCell ref="AM55:AM56"/>
    <mergeCell ref="AN55:AN56"/>
    <mergeCell ref="AO55:AO56"/>
    <mergeCell ref="CM55:CM56"/>
    <mergeCell ref="CN55:CN56"/>
    <mergeCell ref="S55:S56"/>
    <mergeCell ref="T55:T56"/>
    <mergeCell ref="U55:U56"/>
    <mergeCell ref="W55:W56"/>
    <mergeCell ref="X55:X56"/>
    <mergeCell ref="Y55:Y56"/>
    <mergeCell ref="C55:C57"/>
    <mergeCell ref="E55:F56"/>
    <mergeCell ref="G55:G56"/>
    <mergeCell ref="H55:H56"/>
    <mergeCell ref="I55:I56"/>
    <mergeCell ref="J55:J56"/>
    <mergeCell ref="O55:O56"/>
    <mergeCell ref="P55:P56"/>
    <mergeCell ref="K56:L56"/>
    <mergeCell ref="D57:E57"/>
    <mergeCell ref="H58:H59"/>
    <mergeCell ref="I58:I59"/>
    <mergeCell ref="J58:J59"/>
    <mergeCell ref="O58:O59"/>
    <mergeCell ref="P58:P59"/>
    <mergeCell ref="K59:L59"/>
    <mergeCell ref="D60:E60"/>
    <mergeCell ref="Q55:Q56"/>
    <mergeCell ref="R55:R56"/>
    <mergeCell ref="CM49:CM50"/>
    <mergeCell ref="CM52:CM53"/>
    <mergeCell ref="CM28:CM29"/>
    <mergeCell ref="CM30:CM31"/>
    <mergeCell ref="CM32:CM33"/>
    <mergeCell ref="CM34:CM35"/>
    <mergeCell ref="CM36:CM37"/>
    <mergeCell ref="CM38:CM39"/>
    <mergeCell ref="CM40:CM41"/>
    <mergeCell ref="CM43:CM44"/>
    <mergeCell ref="CM46:CM47"/>
    <mergeCell ref="CM10:CM11"/>
    <mergeCell ref="CM12:CM13"/>
    <mergeCell ref="CM14:CM15"/>
    <mergeCell ref="CM16:CM17"/>
    <mergeCell ref="CM18:CM19"/>
    <mergeCell ref="CM20:CM21"/>
    <mergeCell ref="CM22:CM23"/>
    <mergeCell ref="CM24:CM25"/>
    <mergeCell ref="CM26:CM27"/>
    <mergeCell ref="H6:H7"/>
    <mergeCell ref="I6:I7"/>
    <mergeCell ref="H52:H53"/>
    <mergeCell ref="C32:C33"/>
    <mergeCell ref="E32:E33"/>
    <mergeCell ref="F32:F33"/>
    <mergeCell ref="G32:G33"/>
    <mergeCell ref="H32:H33"/>
    <mergeCell ref="G40:G41"/>
    <mergeCell ref="G43:G44"/>
    <mergeCell ref="C34:C35"/>
    <mergeCell ref="E34:E35"/>
    <mergeCell ref="F34:F35"/>
    <mergeCell ref="G34:G35"/>
    <mergeCell ref="H34:H35"/>
    <mergeCell ref="H49:H50"/>
    <mergeCell ref="D42:E42"/>
    <mergeCell ref="C40:C42"/>
    <mergeCell ref="C43:C45"/>
    <mergeCell ref="C46:C48"/>
    <mergeCell ref="C49:C51"/>
    <mergeCell ref="C52:C54"/>
    <mergeCell ref="I34:I35"/>
    <mergeCell ref="H24:H25"/>
    <mergeCell ref="H4:I4"/>
    <mergeCell ref="G20:G21"/>
    <mergeCell ref="E22:E23"/>
    <mergeCell ref="H22:H23"/>
    <mergeCell ref="H16:H17"/>
    <mergeCell ref="H18:H19"/>
    <mergeCell ref="C10:C11"/>
    <mergeCell ref="C16:C17"/>
    <mergeCell ref="C12:C13"/>
    <mergeCell ref="C14:C15"/>
    <mergeCell ref="E20:E21"/>
    <mergeCell ref="F20:F21"/>
    <mergeCell ref="F22:F23"/>
    <mergeCell ref="C22:C23"/>
    <mergeCell ref="E18:E19"/>
    <mergeCell ref="C20:C21"/>
    <mergeCell ref="H5:I5"/>
    <mergeCell ref="F12:F13"/>
    <mergeCell ref="E10:E11"/>
    <mergeCell ref="F10:F11"/>
    <mergeCell ref="E16:E17"/>
    <mergeCell ref="F16:F17"/>
    <mergeCell ref="D6:D7"/>
    <mergeCell ref="G6:G7"/>
    <mergeCell ref="AO10:AO11"/>
    <mergeCell ref="AO12:AO13"/>
    <mergeCell ref="AO14:AO15"/>
    <mergeCell ref="AO16:AO17"/>
    <mergeCell ref="AO18:AO19"/>
    <mergeCell ref="AO20:AO21"/>
    <mergeCell ref="AO22:AO23"/>
    <mergeCell ref="AO24:AO25"/>
    <mergeCell ref="AO46:AO47"/>
    <mergeCell ref="AO28:AO29"/>
    <mergeCell ref="AO30:AO31"/>
    <mergeCell ref="AO32:AO33"/>
    <mergeCell ref="AO34:AO35"/>
    <mergeCell ref="AO36:AO37"/>
    <mergeCell ref="AO38:AO39"/>
    <mergeCell ref="AO40:AO41"/>
    <mergeCell ref="AO43:AO44"/>
    <mergeCell ref="AM43:AM44"/>
    <mergeCell ref="AM46:AM47"/>
    <mergeCell ref="O46:O47"/>
    <mergeCell ref="AO49:AO50"/>
    <mergeCell ref="AO52:AO53"/>
    <mergeCell ref="CN8:CN9"/>
    <mergeCell ref="CN10:CN11"/>
    <mergeCell ref="CN12:CN13"/>
    <mergeCell ref="CN14:CN15"/>
    <mergeCell ref="CN16:CN17"/>
    <mergeCell ref="CN18:CN19"/>
    <mergeCell ref="CN20:CN21"/>
    <mergeCell ref="CN22:CN23"/>
    <mergeCell ref="CN24:CN25"/>
    <mergeCell ref="CN26:CN27"/>
    <mergeCell ref="CN28:CN29"/>
    <mergeCell ref="CN30:CN31"/>
    <mergeCell ref="CN32:CN33"/>
    <mergeCell ref="CN34:CN35"/>
    <mergeCell ref="CN36:CN37"/>
    <mergeCell ref="CN38:CN39"/>
    <mergeCell ref="CN40:CN41"/>
    <mergeCell ref="CN43:CN44"/>
    <mergeCell ref="CN46:CN47"/>
    <mergeCell ref="CN49:CN50"/>
    <mergeCell ref="CN52:CN53"/>
    <mergeCell ref="AO26:AO27"/>
    <mergeCell ref="AM49:AM50"/>
    <mergeCell ref="AM52:AM53"/>
    <mergeCell ref="AN10:AN11"/>
    <mergeCell ref="AN12:AN13"/>
    <mergeCell ref="AN14:AN15"/>
    <mergeCell ref="AN16:AN17"/>
    <mergeCell ref="AN18:AN19"/>
    <mergeCell ref="AN20:AN21"/>
    <mergeCell ref="AN22:AN23"/>
    <mergeCell ref="AN24:AN25"/>
    <mergeCell ref="AN26:AN27"/>
    <mergeCell ref="AN28:AN29"/>
    <mergeCell ref="AN30:AN31"/>
    <mergeCell ref="AN32:AN33"/>
    <mergeCell ref="AN34:AN35"/>
    <mergeCell ref="AN36:AN37"/>
    <mergeCell ref="AN38:AN39"/>
    <mergeCell ref="AN40:AN41"/>
    <mergeCell ref="AN43:AN44"/>
    <mergeCell ref="AN46:AN47"/>
    <mergeCell ref="AN49:AN50"/>
    <mergeCell ref="O49:O50"/>
    <mergeCell ref="O52:O53"/>
    <mergeCell ref="AM8:AM9"/>
    <mergeCell ref="AN8:AN9"/>
    <mergeCell ref="AM10:AM11"/>
    <mergeCell ref="AM12:AM13"/>
    <mergeCell ref="AM14:AM15"/>
    <mergeCell ref="AM16:AM17"/>
    <mergeCell ref="AM18:AM19"/>
    <mergeCell ref="AM20:AM21"/>
    <mergeCell ref="AM22:AM23"/>
    <mergeCell ref="AN52:AN53"/>
    <mergeCell ref="AM24:AM25"/>
    <mergeCell ref="AM26:AM27"/>
    <mergeCell ref="AM28:AM29"/>
    <mergeCell ref="AM30:AM31"/>
    <mergeCell ref="AM32:AM33"/>
    <mergeCell ref="AM34:AM35"/>
    <mergeCell ref="AM36:AM37"/>
    <mergeCell ref="AM38:AM39"/>
    <mergeCell ref="AM40:AM41"/>
    <mergeCell ref="Q43:Q44"/>
    <mergeCell ref="R43:R44"/>
    <mergeCell ref="S43:S44"/>
    <mergeCell ref="AO2:AQ2"/>
    <mergeCell ref="AO3:AQ3"/>
    <mergeCell ref="Q52:Q53"/>
    <mergeCell ref="R52:R53"/>
    <mergeCell ref="S52:S53"/>
    <mergeCell ref="T52:T53"/>
    <mergeCell ref="U52:U53"/>
    <mergeCell ref="W52:W53"/>
    <mergeCell ref="Q46:Q47"/>
    <mergeCell ref="R46:R47"/>
    <mergeCell ref="S46:S47"/>
    <mergeCell ref="T46:T47"/>
    <mergeCell ref="U46:U47"/>
    <mergeCell ref="W46:W47"/>
    <mergeCell ref="Q49:Q50"/>
    <mergeCell ref="R49:R50"/>
    <mergeCell ref="S49:S50"/>
    <mergeCell ref="T49:T50"/>
    <mergeCell ref="U49:U50"/>
    <mergeCell ref="W49:W50"/>
    <mergeCell ref="S40:S41"/>
    <mergeCell ref="U43:U44"/>
    <mergeCell ref="W43:W44"/>
    <mergeCell ref="Q40:Q41"/>
    <mergeCell ref="R40:R41"/>
    <mergeCell ref="R38:R39"/>
    <mergeCell ref="S38:S39"/>
    <mergeCell ref="T38:T39"/>
    <mergeCell ref="U38:U39"/>
    <mergeCell ref="W38:W39"/>
    <mergeCell ref="T40:T41"/>
    <mergeCell ref="U40:U41"/>
    <mergeCell ref="W40:W41"/>
    <mergeCell ref="R34:R35"/>
    <mergeCell ref="S34:S35"/>
    <mergeCell ref="T34:T35"/>
    <mergeCell ref="U34:U35"/>
    <mergeCell ref="W34:W35"/>
    <mergeCell ref="Q36:Q37"/>
    <mergeCell ref="R36:R37"/>
    <mergeCell ref="S36:S37"/>
    <mergeCell ref="T36:T37"/>
    <mergeCell ref="U36:U37"/>
    <mergeCell ref="W36:W37"/>
    <mergeCell ref="R30:R31"/>
    <mergeCell ref="S30:S31"/>
    <mergeCell ref="T30:T31"/>
    <mergeCell ref="U30:U31"/>
    <mergeCell ref="W30:W31"/>
    <mergeCell ref="Q32:Q33"/>
    <mergeCell ref="R32:R33"/>
    <mergeCell ref="S32:S33"/>
    <mergeCell ref="T32:T33"/>
    <mergeCell ref="U32:U33"/>
    <mergeCell ref="W32:W33"/>
    <mergeCell ref="R26:R27"/>
    <mergeCell ref="S26:S27"/>
    <mergeCell ref="T26:T27"/>
    <mergeCell ref="U26:U27"/>
    <mergeCell ref="W26:W27"/>
    <mergeCell ref="Q28:Q29"/>
    <mergeCell ref="R28:R29"/>
    <mergeCell ref="S28:S29"/>
    <mergeCell ref="T28:T29"/>
    <mergeCell ref="U28:U29"/>
    <mergeCell ref="W28:W29"/>
    <mergeCell ref="R22:R23"/>
    <mergeCell ref="S22:S23"/>
    <mergeCell ref="T22:T23"/>
    <mergeCell ref="U22:U23"/>
    <mergeCell ref="W22:W23"/>
    <mergeCell ref="Q24:Q25"/>
    <mergeCell ref="R24:R25"/>
    <mergeCell ref="S24:S25"/>
    <mergeCell ref="T24:T25"/>
    <mergeCell ref="U24:U25"/>
    <mergeCell ref="W24:W25"/>
    <mergeCell ref="T18:T19"/>
    <mergeCell ref="U18:U19"/>
    <mergeCell ref="W18:W19"/>
    <mergeCell ref="Q20:Q21"/>
    <mergeCell ref="R20:R21"/>
    <mergeCell ref="S20:S21"/>
    <mergeCell ref="T20:T21"/>
    <mergeCell ref="U20:U21"/>
    <mergeCell ref="W20:W21"/>
    <mergeCell ref="T8:T9"/>
    <mergeCell ref="U8:U9"/>
    <mergeCell ref="W8:W9"/>
    <mergeCell ref="Q6:W6"/>
    <mergeCell ref="P8:P9"/>
    <mergeCell ref="Q10:Q11"/>
    <mergeCell ref="R10:R11"/>
    <mergeCell ref="S10:S11"/>
    <mergeCell ref="T10:T11"/>
    <mergeCell ref="U10:U11"/>
    <mergeCell ref="W10:W11"/>
    <mergeCell ref="R8:R9"/>
    <mergeCell ref="S8:S9"/>
    <mergeCell ref="Q8:Q9"/>
    <mergeCell ref="I122:I123"/>
    <mergeCell ref="J122:J123"/>
    <mergeCell ref="O122:O123"/>
    <mergeCell ref="H114:H115"/>
    <mergeCell ref="H98:H99"/>
    <mergeCell ref="I98:I99"/>
    <mergeCell ref="I118:I119"/>
    <mergeCell ref="P99:Q99"/>
    <mergeCell ref="K102:L103"/>
    <mergeCell ref="J98:J99"/>
    <mergeCell ref="O100:O101"/>
    <mergeCell ref="O98:O99"/>
    <mergeCell ref="I116:I117"/>
    <mergeCell ref="J116:J117"/>
    <mergeCell ref="O116:O117"/>
    <mergeCell ref="P111:Q111"/>
    <mergeCell ref="I104:I105"/>
    <mergeCell ref="O106:O107"/>
    <mergeCell ref="I100:I101"/>
    <mergeCell ref="J104:J105"/>
    <mergeCell ref="O104:O105"/>
    <mergeCell ref="P105:Q105"/>
    <mergeCell ref="P119:Q119"/>
    <mergeCell ref="P107:Q107"/>
    <mergeCell ref="T12:T13"/>
    <mergeCell ref="U12:U13"/>
    <mergeCell ref="W12:W13"/>
    <mergeCell ref="Q14:Q15"/>
    <mergeCell ref="R14:R15"/>
    <mergeCell ref="S14:S15"/>
    <mergeCell ref="T14:T15"/>
    <mergeCell ref="J150:K150"/>
    <mergeCell ref="U14:U15"/>
    <mergeCell ref="W14:W15"/>
    <mergeCell ref="R12:R13"/>
    <mergeCell ref="S12:S13"/>
    <mergeCell ref="Q16:Q17"/>
    <mergeCell ref="R16:R17"/>
    <mergeCell ref="S16:S17"/>
    <mergeCell ref="T16:T17"/>
    <mergeCell ref="U16:U17"/>
    <mergeCell ref="W16:W17"/>
    <mergeCell ref="Q18:Q19"/>
    <mergeCell ref="R18:R19"/>
    <mergeCell ref="S18:S19"/>
    <mergeCell ref="J34:J35"/>
    <mergeCell ref="P14:P15"/>
    <mergeCell ref="P16:P17"/>
    <mergeCell ref="AN94:AO97"/>
    <mergeCell ref="G126:G127"/>
    <mergeCell ref="H126:H127"/>
    <mergeCell ref="K126:L127"/>
    <mergeCell ref="G106:G107"/>
    <mergeCell ref="H106:H107"/>
    <mergeCell ref="I106:I107"/>
    <mergeCell ref="P123:Q123"/>
    <mergeCell ref="G124:G125"/>
    <mergeCell ref="H124:H125"/>
    <mergeCell ref="I124:I125"/>
    <mergeCell ref="O124:O125"/>
    <mergeCell ref="P125:Q125"/>
    <mergeCell ref="G120:G121"/>
    <mergeCell ref="H120:H121"/>
    <mergeCell ref="K120:L121"/>
    <mergeCell ref="G122:G123"/>
    <mergeCell ref="H122:H123"/>
    <mergeCell ref="O118:O119"/>
    <mergeCell ref="O110:O111"/>
    <mergeCell ref="K114:L115"/>
    <mergeCell ref="I112:I113"/>
    <mergeCell ref="S94:S97"/>
    <mergeCell ref="P101:Q101"/>
    <mergeCell ref="O112:O113"/>
    <mergeCell ref="P117:Q117"/>
    <mergeCell ref="P113:Q113"/>
    <mergeCell ref="G108:G109"/>
    <mergeCell ref="H108:H109"/>
    <mergeCell ref="K108:L109"/>
    <mergeCell ref="G110:G111"/>
    <mergeCell ref="H110:H111"/>
    <mergeCell ref="I110:I111"/>
    <mergeCell ref="J110:J111"/>
    <mergeCell ref="M94:N95"/>
    <mergeCell ref="B87:B90"/>
    <mergeCell ref="B91:B93"/>
    <mergeCell ref="G94:G97"/>
    <mergeCell ref="H94:H97"/>
    <mergeCell ref="M96:N97"/>
    <mergeCell ref="G118:G119"/>
    <mergeCell ref="H118:H119"/>
    <mergeCell ref="G116:G117"/>
    <mergeCell ref="H116:H117"/>
    <mergeCell ref="E91:F91"/>
    <mergeCell ref="H100:H101"/>
    <mergeCell ref="E92:F92"/>
    <mergeCell ref="E93:F93"/>
    <mergeCell ref="G98:G99"/>
    <mergeCell ref="E118:E119"/>
    <mergeCell ref="F118:F119"/>
    <mergeCell ref="G112:G113"/>
    <mergeCell ref="H112:H113"/>
    <mergeCell ref="D116:D117"/>
    <mergeCell ref="D118:D119"/>
    <mergeCell ref="C94:D97"/>
    <mergeCell ref="G114:G115"/>
    <mergeCell ref="G100:G101"/>
    <mergeCell ref="G49:G50"/>
    <mergeCell ref="C38:C39"/>
    <mergeCell ref="E38:E39"/>
    <mergeCell ref="I94:I97"/>
    <mergeCell ref="J94:J97"/>
    <mergeCell ref="F96:F97"/>
    <mergeCell ref="E96:E97"/>
    <mergeCell ref="F112:F113"/>
    <mergeCell ref="K94:L94"/>
    <mergeCell ref="B70:C71"/>
    <mergeCell ref="D70:D72"/>
    <mergeCell ref="C81:C82"/>
    <mergeCell ref="C83:C84"/>
    <mergeCell ref="C85:C86"/>
    <mergeCell ref="B79:B86"/>
    <mergeCell ref="C79:C80"/>
    <mergeCell ref="H70:H72"/>
    <mergeCell ref="G102:G103"/>
    <mergeCell ref="H102:H103"/>
    <mergeCell ref="G104:G105"/>
    <mergeCell ref="H104:H105"/>
    <mergeCell ref="C58:C60"/>
    <mergeCell ref="E58:F59"/>
    <mergeCell ref="G58:G59"/>
    <mergeCell ref="C28:C29"/>
    <mergeCell ref="E28:E29"/>
    <mergeCell ref="F28:F29"/>
    <mergeCell ref="C24:C25"/>
    <mergeCell ref="B2:C2"/>
    <mergeCell ref="B6:C6"/>
    <mergeCell ref="B20:B29"/>
    <mergeCell ref="C36:C37"/>
    <mergeCell ref="E36:E37"/>
    <mergeCell ref="B30:B39"/>
    <mergeCell ref="C30:C31"/>
    <mergeCell ref="F36:F37"/>
    <mergeCell ref="C26:C27"/>
    <mergeCell ref="E26:E27"/>
    <mergeCell ref="F8:F9"/>
    <mergeCell ref="E6:F6"/>
    <mergeCell ref="C18:C19"/>
    <mergeCell ref="B8:B19"/>
    <mergeCell ref="E8:E9"/>
    <mergeCell ref="B3:E5"/>
    <mergeCell ref="F4:G5"/>
    <mergeCell ref="G8:G9"/>
    <mergeCell ref="C8:C9"/>
    <mergeCell ref="J32:J33"/>
    <mergeCell ref="J30:J31"/>
    <mergeCell ref="D45:E45"/>
    <mergeCell ref="D48:E48"/>
    <mergeCell ref="I24:I25"/>
    <mergeCell ref="J24:J25"/>
    <mergeCell ref="F26:F27"/>
    <mergeCell ref="G26:G27"/>
    <mergeCell ref="G24:G25"/>
    <mergeCell ref="E43:F44"/>
    <mergeCell ref="D54:E54"/>
    <mergeCell ref="K53:L53"/>
    <mergeCell ref="K37:L37"/>
    <mergeCell ref="F38:F39"/>
    <mergeCell ref="G38:G39"/>
    <mergeCell ref="H38:H39"/>
    <mergeCell ref="I38:I39"/>
    <mergeCell ref="J38:J39"/>
    <mergeCell ref="K39:L39"/>
    <mergeCell ref="G36:G37"/>
    <mergeCell ref="H36:H37"/>
    <mergeCell ref="E46:F47"/>
    <mergeCell ref="G46:G47"/>
    <mergeCell ref="H46:H47"/>
    <mergeCell ref="I46:I47"/>
    <mergeCell ref="J46:J47"/>
    <mergeCell ref="K47:L47"/>
    <mergeCell ref="E40:F41"/>
    <mergeCell ref="I52:I53"/>
    <mergeCell ref="J52:J53"/>
    <mergeCell ref="H43:H44"/>
    <mergeCell ref="I40:I41"/>
    <mergeCell ref="H40:H41"/>
    <mergeCell ref="E49:F50"/>
    <mergeCell ref="E52:F53"/>
    <mergeCell ref="G52:G53"/>
    <mergeCell ref="J8:J9"/>
    <mergeCell ref="H12:H13"/>
    <mergeCell ref="I12:I13"/>
    <mergeCell ref="J12:J13"/>
    <mergeCell ref="K13:L13"/>
    <mergeCell ref="I8:I9"/>
    <mergeCell ref="K25:L25"/>
    <mergeCell ref="H26:H27"/>
    <mergeCell ref="I26:I27"/>
    <mergeCell ref="J26:J27"/>
    <mergeCell ref="K27:L27"/>
    <mergeCell ref="K44:L44"/>
    <mergeCell ref="J40:J41"/>
    <mergeCell ref="J20:J21"/>
    <mergeCell ref="K31:L31"/>
    <mergeCell ref="K41:L41"/>
    <mergeCell ref="D51:E51"/>
    <mergeCell ref="E30:E31"/>
    <mergeCell ref="F30:F31"/>
    <mergeCell ref="G30:G31"/>
    <mergeCell ref="E24:E25"/>
    <mergeCell ref="F24:F25"/>
    <mergeCell ref="K9:L9"/>
    <mergeCell ref="O14:O15"/>
    <mergeCell ref="O16:O17"/>
    <mergeCell ref="O18:O19"/>
    <mergeCell ref="O20:O21"/>
    <mergeCell ref="O22:O23"/>
    <mergeCell ref="O24:O25"/>
    <mergeCell ref="O26:O27"/>
    <mergeCell ref="P10:P11"/>
    <mergeCell ref="K23:L23"/>
    <mergeCell ref="K21:L21"/>
    <mergeCell ref="O28:O29"/>
    <mergeCell ref="O30:O31"/>
    <mergeCell ref="O32:O33"/>
    <mergeCell ref="O34:O35"/>
    <mergeCell ref="O36:O37"/>
    <mergeCell ref="O38:O39"/>
    <mergeCell ref="O40:O41"/>
    <mergeCell ref="O43:O44"/>
    <mergeCell ref="Q12:Q13"/>
    <mergeCell ref="P12:P13"/>
    <mergeCell ref="Q22:Q23"/>
    <mergeCell ref="Q26:Q27"/>
    <mergeCell ref="Q30:Q31"/>
    <mergeCell ref="Q34:Q35"/>
    <mergeCell ref="Q38:Q39"/>
    <mergeCell ref="P28:P29"/>
    <mergeCell ref="P30:P31"/>
    <mergeCell ref="P32:P33"/>
    <mergeCell ref="P34:P35"/>
    <mergeCell ref="P18:P19"/>
    <mergeCell ref="P20:P21"/>
    <mergeCell ref="P22:P23"/>
    <mergeCell ref="P24:P25"/>
    <mergeCell ref="P26:P27"/>
    <mergeCell ref="R93:S93"/>
    <mergeCell ref="S79:S80"/>
    <mergeCell ref="I14:I15"/>
    <mergeCell ref="J14:J15"/>
    <mergeCell ref="K15:L15"/>
    <mergeCell ref="I16:I17"/>
    <mergeCell ref="J16:J17"/>
    <mergeCell ref="K17:L17"/>
    <mergeCell ref="I28:I29"/>
    <mergeCell ref="I49:I50"/>
    <mergeCell ref="J49:J50"/>
    <mergeCell ref="K50:L50"/>
    <mergeCell ref="I36:I37"/>
    <mergeCell ref="J36:J37"/>
    <mergeCell ref="I18:I19"/>
    <mergeCell ref="J18:J19"/>
    <mergeCell ref="K19:L19"/>
    <mergeCell ref="J22:J23"/>
    <mergeCell ref="K29:L29"/>
    <mergeCell ref="K33:L33"/>
    <mergeCell ref="J28:J29"/>
    <mergeCell ref="K35:L35"/>
    <mergeCell ref="I43:I44"/>
    <mergeCell ref="J43:J44"/>
    <mergeCell ref="S83:S84"/>
    <mergeCell ref="S85:S86"/>
    <mergeCell ref="R88:S88"/>
    <mergeCell ref="R89:S89"/>
    <mergeCell ref="R90:S90"/>
    <mergeCell ref="R77:S77"/>
    <mergeCell ref="R78:S78"/>
    <mergeCell ref="R87:S87"/>
    <mergeCell ref="R92:S92"/>
    <mergeCell ref="R91:S91"/>
    <mergeCell ref="S81:S82"/>
    <mergeCell ref="AG94:AM94"/>
    <mergeCell ref="AG95:AH95"/>
    <mergeCell ref="AI95:AJ95"/>
    <mergeCell ref="AK95:AK97"/>
    <mergeCell ref="AL95:AL97"/>
    <mergeCell ref="AM95:AM97"/>
    <mergeCell ref="U96:U97"/>
    <mergeCell ref="T94:U95"/>
    <mergeCell ref="O94:O97"/>
    <mergeCell ref="AD94:AF95"/>
    <mergeCell ref="V94:Y95"/>
    <mergeCell ref="Z94:Z96"/>
    <mergeCell ref="AA94:AC95"/>
    <mergeCell ref="P96:P97"/>
    <mergeCell ref="Q96:Q97"/>
    <mergeCell ref="P94:R95"/>
    <mergeCell ref="R96:R97"/>
    <mergeCell ref="W96:Y96"/>
    <mergeCell ref="DA71:DB71"/>
    <mergeCell ref="R73:S73"/>
    <mergeCell ref="E70:F71"/>
    <mergeCell ref="G70:G72"/>
    <mergeCell ref="M70:M71"/>
    <mergeCell ref="CY71:CZ71"/>
    <mergeCell ref="R76:S76"/>
    <mergeCell ref="N70:O70"/>
    <mergeCell ref="P70:Q70"/>
    <mergeCell ref="T70:U72"/>
    <mergeCell ref="R74:S74"/>
    <mergeCell ref="R75:S75"/>
    <mergeCell ref="R70:S72"/>
    <mergeCell ref="I70:I72"/>
    <mergeCell ref="J70:L71"/>
    <mergeCell ref="N3:O3"/>
    <mergeCell ref="P3:Q3"/>
    <mergeCell ref="K6:M6"/>
    <mergeCell ref="X6:Z6"/>
    <mergeCell ref="R3:S3"/>
    <mergeCell ref="P4:Z5"/>
    <mergeCell ref="N4:O5"/>
    <mergeCell ref="AA4:AA6"/>
    <mergeCell ref="AB4:AB7"/>
    <mergeCell ref="J5:K5"/>
    <mergeCell ref="L5:M5"/>
    <mergeCell ref="J4:K4"/>
    <mergeCell ref="L4:M4"/>
    <mergeCell ref="V3:W3"/>
    <mergeCell ref="X3:Y3"/>
    <mergeCell ref="J6:J7"/>
    <mergeCell ref="Y8:Y9"/>
    <mergeCell ref="Z8:Z9"/>
    <mergeCell ref="AA8:AA9"/>
    <mergeCell ref="AE8:AE9"/>
    <mergeCell ref="AH8:AH9"/>
    <mergeCell ref="DC6:DE6"/>
    <mergeCell ref="AC4:AE4"/>
    <mergeCell ref="AI6:AJ6"/>
    <mergeCell ref="AF4:AH4"/>
    <mergeCell ref="CZ6:DB6"/>
    <mergeCell ref="AK6:AL6"/>
    <mergeCell ref="AI4:AO5"/>
    <mergeCell ref="AP4:AQ7"/>
    <mergeCell ref="AO8:AO9"/>
    <mergeCell ref="CM8:CM9"/>
    <mergeCell ref="X8:X9"/>
    <mergeCell ref="I22:I23"/>
    <mergeCell ref="I20:I21"/>
    <mergeCell ref="I30:I31"/>
    <mergeCell ref="I32:I33"/>
    <mergeCell ref="G12:G13"/>
    <mergeCell ref="G10:G11"/>
    <mergeCell ref="G16:G17"/>
    <mergeCell ref="G14:G15"/>
    <mergeCell ref="G18:G19"/>
    <mergeCell ref="H10:H11"/>
    <mergeCell ref="H14:H15"/>
    <mergeCell ref="I10:I11"/>
    <mergeCell ref="G28:G29"/>
    <mergeCell ref="G22:G23"/>
    <mergeCell ref="H20:H21"/>
    <mergeCell ref="H28:H29"/>
    <mergeCell ref="O8:O9"/>
    <mergeCell ref="O10:O11"/>
    <mergeCell ref="O12:O13"/>
    <mergeCell ref="J10:J11"/>
    <mergeCell ref="K11:L11"/>
    <mergeCell ref="H8:H9"/>
    <mergeCell ref="H30:H31"/>
    <mergeCell ref="E124:E125"/>
    <mergeCell ref="F124:F125"/>
    <mergeCell ref="E100:E101"/>
    <mergeCell ref="F100:F101"/>
    <mergeCell ref="E14:E15"/>
    <mergeCell ref="F14:F15"/>
    <mergeCell ref="F18:F19"/>
    <mergeCell ref="E12:E13"/>
    <mergeCell ref="B73:B75"/>
    <mergeCell ref="B76:B78"/>
    <mergeCell ref="E106:E107"/>
    <mergeCell ref="F106:F107"/>
    <mergeCell ref="E112:E113"/>
    <mergeCell ref="E94:F95"/>
    <mergeCell ref="B94:B127"/>
    <mergeCell ref="D98:D99"/>
    <mergeCell ref="D100:D101"/>
    <mergeCell ref="C98:C103"/>
    <mergeCell ref="C104:C109"/>
    <mergeCell ref="D104:D105"/>
    <mergeCell ref="D106:D107"/>
    <mergeCell ref="C110:C115"/>
    <mergeCell ref="D110:D111"/>
    <mergeCell ref="D112:D113"/>
    <mergeCell ref="C116:C121"/>
    <mergeCell ref="C122:C127"/>
    <mergeCell ref="D122:D123"/>
    <mergeCell ref="D124:D125"/>
    <mergeCell ref="X12:X13"/>
    <mergeCell ref="Y12:Y13"/>
    <mergeCell ref="Z12:Z13"/>
    <mergeCell ref="AA12:AA13"/>
    <mergeCell ref="AE12:AE13"/>
    <mergeCell ref="X18:X19"/>
    <mergeCell ref="X20:X21"/>
    <mergeCell ref="X22:X23"/>
    <mergeCell ref="X24:X25"/>
    <mergeCell ref="X26:X27"/>
    <mergeCell ref="X28:X29"/>
    <mergeCell ref="X30:X31"/>
    <mergeCell ref="X32:X33"/>
    <mergeCell ref="X34:X35"/>
    <mergeCell ref="X36:X37"/>
    <mergeCell ref="X38:X39"/>
    <mergeCell ref="X40:X41"/>
    <mergeCell ref="X43:X44"/>
    <mergeCell ref="X46:X47"/>
    <mergeCell ref="X49:X50"/>
    <mergeCell ref="Y52:Y53"/>
    <mergeCell ref="AH12:AH13"/>
    <mergeCell ref="AA10:AA11"/>
    <mergeCell ref="Z10:Z11"/>
    <mergeCell ref="X10:X11"/>
    <mergeCell ref="Y10:Y11"/>
    <mergeCell ref="AE10:AE11"/>
    <mergeCell ref="AH10:AH11"/>
    <mergeCell ref="X14:X15"/>
    <mergeCell ref="X16:X17"/>
    <mergeCell ref="Z14:Z15"/>
    <mergeCell ref="Z16:Z17"/>
    <mergeCell ref="AH14:AH15"/>
    <mergeCell ref="AH16:AH17"/>
    <mergeCell ref="Y14:Y15"/>
    <mergeCell ref="Y16:Y17"/>
    <mergeCell ref="AA14:AA15"/>
    <mergeCell ref="AA16:AA17"/>
    <mergeCell ref="AE14:AE15"/>
    <mergeCell ref="AE16:AE17"/>
    <mergeCell ref="AA32:AA33"/>
    <mergeCell ref="AA34:AA35"/>
    <mergeCell ref="Y32:Y33"/>
    <mergeCell ref="Y34:Y35"/>
    <mergeCell ref="Y18:Y19"/>
    <mergeCell ref="Y20:Y21"/>
    <mergeCell ref="Y22:Y23"/>
    <mergeCell ref="Y24:Y25"/>
    <mergeCell ref="Y26:Y27"/>
    <mergeCell ref="Y28:Y29"/>
    <mergeCell ref="Y30:Y31"/>
    <mergeCell ref="Z18:Z19"/>
    <mergeCell ref="Z20:Z21"/>
    <mergeCell ref="Z22:Z23"/>
    <mergeCell ref="Z24:Z25"/>
    <mergeCell ref="Z26:Z27"/>
    <mergeCell ref="Z32:Z33"/>
    <mergeCell ref="Z34:Z35"/>
    <mergeCell ref="AE32:AE33"/>
    <mergeCell ref="AE34:AE35"/>
    <mergeCell ref="AE36:AE37"/>
    <mergeCell ref="AE38:AE39"/>
    <mergeCell ref="AE40:AE41"/>
    <mergeCell ref="AA36:AA37"/>
    <mergeCell ref="AA38:AA39"/>
    <mergeCell ref="AA40:AA41"/>
    <mergeCell ref="AE18:AE19"/>
    <mergeCell ref="AE20:AE21"/>
    <mergeCell ref="AE22:AE23"/>
    <mergeCell ref="AE24:AE25"/>
    <mergeCell ref="AE26:AE27"/>
    <mergeCell ref="AE28:AE29"/>
    <mergeCell ref="AE30:AE31"/>
    <mergeCell ref="Z28:Z29"/>
    <mergeCell ref="Z30:Z31"/>
    <mergeCell ref="AA18:AA19"/>
    <mergeCell ref="AA20:AA21"/>
    <mergeCell ref="AA22:AA23"/>
    <mergeCell ref="AA24:AA25"/>
    <mergeCell ref="AA26:AA27"/>
    <mergeCell ref="AA28:AA29"/>
    <mergeCell ref="AA30:AA31"/>
    <mergeCell ref="AH18:AH19"/>
    <mergeCell ref="AH20:AH21"/>
    <mergeCell ref="AH22:AH23"/>
    <mergeCell ref="AH24:AH25"/>
    <mergeCell ref="AH26:AH27"/>
    <mergeCell ref="AH28:AH29"/>
    <mergeCell ref="AH30:AH31"/>
    <mergeCell ref="AH32:AH33"/>
    <mergeCell ref="AH34:AH35"/>
    <mergeCell ref="AH52:AH53"/>
    <mergeCell ref="P49:P50"/>
    <mergeCell ref="P52:P53"/>
    <mergeCell ref="P36:P37"/>
    <mergeCell ref="P38:P39"/>
    <mergeCell ref="P40:P41"/>
    <mergeCell ref="P43:P44"/>
    <mergeCell ref="P46:P47"/>
    <mergeCell ref="AA52:AA53"/>
    <mergeCell ref="Z36:Z37"/>
    <mergeCell ref="Z38:Z39"/>
    <mergeCell ref="Z40:Z41"/>
    <mergeCell ref="Z43:Z44"/>
    <mergeCell ref="Z46:Z47"/>
    <mergeCell ref="Z49:Z50"/>
    <mergeCell ref="Z52:Z53"/>
    <mergeCell ref="X52:X53"/>
    <mergeCell ref="T43:T44"/>
    <mergeCell ref="AE43:AE44"/>
    <mergeCell ref="AE46:AE47"/>
    <mergeCell ref="AE49:AE50"/>
    <mergeCell ref="AE52:AE53"/>
    <mergeCell ref="Y36:Y37"/>
    <mergeCell ref="Y38:Y39"/>
    <mergeCell ref="AA43:AA44"/>
    <mergeCell ref="AA46:AA47"/>
    <mergeCell ref="AA49:AA50"/>
    <mergeCell ref="Y49:Y50"/>
    <mergeCell ref="AH36:AH37"/>
    <mergeCell ref="AH38:AH39"/>
    <mergeCell ref="AH40:AH41"/>
    <mergeCell ref="AH43:AH44"/>
    <mergeCell ref="AH46:AH47"/>
    <mergeCell ref="AH49:AH50"/>
    <mergeCell ref="Y40:Y41"/>
    <mergeCell ref="Y43:Y44"/>
    <mergeCell ref="Y46:Y47"/>
  </mergeCells>
  <phoneticPr fontId="3"/>
  <dataValidations count="23">
    <dataValidation type="list" allowBlank="1" showInputMessage="1" showErrorMessage="1" sqref="O295" xr:uid="{00000000-0002-0000-0800-000000000000}">
      <formula1>$E$539:$E$549</formula1>
    </dataValidation>
    <dataValidation type="list" allowBlank="1" showInputMessage="1" showErrorMessage="1" sqref="S98:S101 S122:S125 S104:S107 S116:S119 S110:S113 AB67:AB69 AB64:AB65 AB61:AB62 AB58:AB59 AB55:AB56 AB52:AB53 AB49:AB50 AB46:AB47 AB8:AB41 AB43:AB44" xr:uid="{00000000-0002-0000-0800-000001000000}">
      <formula1>$J$603:$J$606</formula1>
    </dataValidation>
    <dataValidation type="list" allowBlank="1" showInputMessage="1" showErrorMessage="1" sqref="J98:J99 J122:J123 J104:J105 J116:J117 J110:J111" xr:uid="{00000000-0002-0000-0800-000002000000}">
      <formula1>$J$595:$J$597</formula1>
    </dataValidation>
    <dataValidation type="list" allowBlank="1" showInputMessage="1" showErrorMessage="1" sqref="O98:O99 J52:J53 J46:J47 J49:J50 J43:J44 O104:O105 O116:O117 O122:O123 I85 I83 I81 O110:O111 I73:I79 J8:J41 I87:I93 J67:J68 J61:J62 J64:J65 J58:J59 J55:J56" xr:uid="{00000000-0002-0000-0800-000003000000}">
      <formula1>$H$574:$H$591</formula1>
    </dataValidation>
    <dataValidation type="list" allowBlank="1" showInputMessage="1" showErrorMessage="1" sqref="N98 N106 N104 N122 J126 J108 N124 J120 N118 N116 J114 N112 N110 J102 N100" xr:uid="{00000000-0002-0000-0800-000004000000}">
      <formula1>$N$599:$N$605</formula1>
    </dataValidation>
    <dataValidation type="list" allowBlank="1" showInputMessage="1" showErrorMessage="1" sqref="J73:J79 J85 J83 J81 J87:J93" xr:uid="{00000000-0002-0000-0800-000005000000}">
      <formula1>$G$601:$G$616</formula1>
    </dataValidation>
    <dataValidation type="list" allowBlank="1" showInputMessage="1" showErrorMessage="1" sqref="M79:M93" xr:uid="{00000000-0002-0000-0800-000006000000}">
      <formula1>$J$623:$J$626</formula1>
    </dataValidation>
    <dataValidation type="list" allowBlank="1" showInputMessage="1" showErrorMessage="1" sqref="L287:L290" xr:uid="{00000000-0002-0000-0800-000007000000}">
      <formula1>$I$561:$I$564</formula1>
    </dataValidation>
    <dataValidation type="list" allowBlank="1" showInputMessage="1" showErrorMessage="1" sqref="I289:I290 I284:I287" xr:uid="{00000000-0002-0000-0800-000008000000}">
      <formula1>$F$539:$F$554</formula1>
    </dataValidation>
    <dataValidation type="list" allowBlank="1" showInputMessage="1" showErrorMessage="1" sqref="M295 I299 M297 L279" xr:uid="{00000000-0002-0000-0800-000009000000}">
      <formula1>$M$537:$M$543</formula1>
    </dataValidation>
    <dataValidation type="list" allowBlank="1" showInputMessage="1" showErrorMessage="1" sqref="E296" xr:uid="{00000000-0002-0000-0800-00000A000000}">
      <formula1>$F$309:$F$311</formula1>
    </dataValidation>
    <dataValidation type="list" allowBlank="1" showInputMessage="1" showErrorMessage="1" sqref="H284:H287 H289:H290 N279:N280 N295:N296" xr:uid="{00000000-0002-0000-0800-00000B000000}">
      <formula1>$G$512:$G$529</formula1>
    </dataValidation>
    <dataValidation type="list" allowBlank="1" showInputMessage="1" showErrorMessage="1" sqref="I295:I296 I279:I280" xr:uid="{00000000-0002-0000-0800-00000C000000}">
      <formula1>$I$533:$I$535</formula1>
    </dataValidation>
    <dataValidation type="list" allowBlank="1" showInputMessage="1" showErrorMessage="1" sqref="R295:R298 R279:R280" xr:uid="{00000000-0002-0000-0800-00000D000000}">
      <formula1>$I$541:$I$544</formula1>
    </dataValidation>
    <dataValidation type="list" allowBlank="1" showInputMessage="1" showErrorMessage="1" sqref="F99 F123 F111 F117 F105" xr:uid="{00000000-0002-0000-0800-00000E000000}">
      <formula1>$D$650:$D$652</formula1>
    </dataValidation>
    <dataValidation type="list" allowBlank="1" showInputMessage="1" showErrorMessage="1" sqref="H5:M5" xr:uid="{00000000-0002-0000-0800-00000F000000}">
      <formula1>$G$356:$G$369</formula1>
    </dataValidation>
    <dataValidation type="list" allowBlank="1" showInputMessage="1" showErrorMessage="1" sqref="F42 F45 F51 F48 F54 F69 F57 F60 F66 F63" xr:uid="{00000000-0002-0000-0800-000010000000}">
      <formula1>$M$205:$M$206</formula1>
    </dataValidation>
    <dataValidation type="list" allowBlank="1" showInputMessage="1" showErrorMessage="1" sqref="H42 H45 H48 H51 H54 H69 H57 H60 H63 H66" xr:uid="{00000000-0002-0000-0800-000011000000}">
      <formula1>$V$203:$V$209</formula1>
    </dataValidation>
    <dataValidation type="list" allowBlank="1" showInputMessage="1" showErrorMessage="1" sqref="P8:P69" xr:uid="{00000000-0002-0000-0800-000012000000}">
      <formula1>$L$211:$L$214</formula1>
    </dataValidation>
    <dataValidation type="list" allowBlank="1" showInputMessage="1" showErrorMessage="1" sqref="X3:Y3" xr:uid="{00000000-0002-0000-0800-000013000000}">
      <formula1>$T$574:$T$639</formula1>
    </dataValidation>
    <dataValidation type="list" allowBlank="1" showInputMessage="1" showErrorMessage="1" sqref="P3:Q3" xr:uid="{00000000-0002-0000-0800-000014000000}">
      <formula1>$I$635:$I$692</formula1>
    </dataValidation>
    <dataValidation type="list" allowBlank="1" showInputMessage="1" showErrorMessage="1" sqref="T3" xr:uid="{00000000-0002-0000-0800-000015000000}">
      <formula1>$D$642:$D$644</formula1>
    </dataValidation>
    <dataValidation type="list" allowBlank="1" showInputMessage="1" showErrorMessage="1" sqref="K8 K10 K12 K14 K16 K18 K20 K22 K24 K26 K28 K30 K32 K34 K36 K38 K40 K43 K46 K49 K52 K55 K58 K61 K64 K67 P98 P104 P110 P116 P122" xr:uid="{00000000-0002-0000-0800-000016000000}">
      <formula1>$F$594:$F$611</formula1>
    </dataValidation>
  </dataValidations>
  <pageMargins left="0.19685039370078741" right="0.19685039370078741" top="0.78740157480314965" bottom="0.39370078740157483" header="0.51181102362204722" footer="0.51181102362204722"/>
  <pageSetup paperSize="8" scale="71" fitToHeight="2" orientation="landscape" verticalDpi="300" r:id="rId1"/>
  <headerFooter alignWithMargins="0"/>
  <rowBreaks count="1" manualBreakCount="1">
    <brk id="69" min="1" max="40" man="1"/>
  </rowBreaks>
  <drawing r:id="rId2"/>
  <legacyDrawing r:id="rId3"/>
  <oleObjects>
    <mc:AlternateContent xmlns:mc="http://schemas.openxmlformats.org/markup-compatibility/2006">
      <mc:Choice Requires="x14">
        <oleObject progId="JexPad.Document" shapeId="4241" r:id="rId4">
          <objectPr defaultSize="0" autoPict="0" r:id="rId5">
            <anchor moveWithCells="1">
              <from>
                <xdr:col>21</xdr:col>
                <xdr:colOff>200025</xdr:colOff>
                <xdr:row>82</xdr:row>
                <xdr:rowOff>171450</xdr:rowOff>
              </from>
              <to>
                <xdr:col>30</xdr:col>
                <xdr:colOff>419100</xdr:colOff>
                <xdr:row>89</xdr:row>
                <xdr:rowOff>238125</xdr:rowOff>
              </to>
            </anchor>
          </objectPr>
        </oleObject>
      </mc:Choice>
      <mc:Fallback>
        <oleObject progId="JexPad.Document" shapeId="4241" r:id="rId4"/>
      </mc:Fallback>
    </mc:AlternateContent>
    <mc:AlternateContent xmlns:mc="http://schemas.openxmlformats.org/markup-compatibility/2006">
      <mc:Choice Requires="x14">
        <oleObject progId="JexPad.Document" shapeId="4243" r:id="rId6">
          <objectPr defaultSize="0" autoPict="0" r:id="rId7">
            <anchor moveWithCells="1">
              <from>
                <xdr:col>21</xdr:col>
                <xdr:colOff>266700</xdr:colOff>
                <xdr:row>75</xdr:row>
                <xdr:rowOff>133350</xdr:rowOff>
              </from>
              <to>
                <xdr:col>30</xdr:col>
                <xdr:colOff>428625</xdr:colOff>
                <xdr:row>81</xdr:row>
                <xdr:rowOff>171450</xdr:rowOff>
              </to>
            </anchor>
          </objectPr>
        </oleObject>
      </mc:Choice>
      <mc:Fallback>
        <oleObject progId="JexPad.Document" shapeId="4243"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使用説明</vt:lpstr>
      <vt:lpstr>使用説明2</vt:lpstr>
      <vt:lpstr>説明用伏図</vt:lpstr>
      <vt:lpstr>表紙</vt:lpstr>
      <vt:lpstr>使い方</vt:lpstr>
      <vt:lpstr>略図</vt:lpstr>
      <vt:lpstr>準備</vt:lpstr>
      <vt:lpstr>許容応力</vt:lpstr>
      <vt:lpstr>断面算定</vt:lpstr>
      <vt:lpstr>断面算定2</vt:lpstr>
      <vt:lpstr>断面算定3</vt:lpstr>
      <vt:lpstr>説明伏図</vt:lpstr>
      <vt:lpstr>板、重梁</vt:lpstr>
      <vt:lpstr>許容応力!Print_Area</vt:lpstr>
      <vt:lpstr>使い方!Print_Area</vt:lpstr>
      <vt:lpstr>使用説明!Print_Area</vt:lpstr>
      <vt:lpstr>使用説明2!Print_Area</vt:lpstr>
      <vt:lpstr>準備!Print_Area</vt:lpstr>
      <vt:lpstr>断面算定!Print_Area</vt:lpstr>
      <vt:lpstr>表紙!Print_Area</vt:lpstr>
      <vt:lpstr>略図!Print_Area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matsumoto</dc:creator>
  <cp:lastModifiedBy>gty409</cp:lastModifiedBy>
  <cp:lastPrinted>2012-06-08T09:05:06Z</cp:lastPrinted>
  <dcterms:created xsi:type="dcterms:W3CDTF">2009-07-08T02:04:22Z</dcterms:created>
  <dcterms:modified xsi:type="dcterms:W3CDTF">2019-01-23T08:49:03Z</dcterms:modified>
</cp:coreProperties>
</file>